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民生資金課\新資金（福祉人材センター育成資金課）\２保育\１保育士修学資金\R8\１募集\01　4月募集\★通知等\★各種様式\HP用（PDF等）\"/>
    </mc:Choice>
  </mc:AlternateContent>
  <xr:revisionPtr revIDLastSave="0" documentId="13_ncr:1_{623C2F09-CD9F-428F-A68F-0128DFED80C8}" xr6:coauthVersionLast="47" xr6:coauthVersionMax="47" xr10:uidLastSave="{00000000-0000-0000-0000-000000000000}"/>
  <workbookProtection workbookAlgorithmName="SHA-512" workbookHashValue="MgMzwsw7KqVw0MsV5QWfVyPy3MumQ2QxtKslhMylSMFZfSHeL5FqsaRHd3lS2VCeUi3ls7EH3rbzcGYYzsB2uw==" workbookSaltValue="Nt7+C3BAWwMvMmjoU120RA==" workbookSpinCount="100000" lockStructure="1"/>
  <bookViews>
    <workbookView xWindow="-108" yWindow="-108" windowWidth="23256" windowHeight="12456" firstSheet="2" activeTab="2" xr2:uid="{3FFBD7D9-158C-46BA-8F04-D94C446BEB05}"/>
  </bookViews>
  <sheets>
    <sheet name="都道府県シート" sheetId="4" state="hidden" r:id="rId1"/>
    <sheet name="データシート" sheetId="3" state="hidden" r:id="rId2"/>
    <sheet name="シミュレーションシート" sheetId="2" r:id="rId3"/>
  </sheets>
  <definedNames>
    <definedName name="_xlnm.Print_Area" localSheetId="2">シミュレーションシート!$A$1:$O$42</definedName>
    <definedName name="愛知県">都道府県シート!$W$3:$W$56</definedName>
    <definedName name="愛媛県">都道府県シート!$AL$3:$AL$22</definedName>
    <definedName name="茨城県">都道府県シート!$H$3:$H$46</definedName>
    <definedName name="岡山県">都道府県シート!$AG$3:$AG$29</definedName>
    <definedName name="沖縄県">都道府県シート!$AU$3:$AU$43</definedName>
    <definedName name="岩手県">都道府県シート!$C$3:$C$35</definedName>
    <definedName name="岐阜県">都道府県シート!$U$3:$U$44</definedName>
    <definedName name="宮崎県">都道府県シート!$AS$3:$AS$28</definedName>
    <definedName name="宮城県">都道府県シート!$D$3:$D$37</definedName>
    <definedName name="京都府">都道府県シート!$Z$3:$Z$28</definedName>
    <definedName name="熊本県">都道府県シート!$AQ$3:$AQ$47</definedName>
    <definedName name="群馬県">都道府県シート!$J$3:$J$37</definedName>
    <definedName name="広島県">都道府県シート!$AH$3:$AH$25</definedName>
    <definedName name="香川県">都道府県シート!$AK$3:$AK$19</definedName>
    <definedName name="高知県">都道府県シート!$AM$3:$AM$36</definedName>
    <definedName name="佐賀県">都道府県シート!$AO$3:$AO$22</definedName>
    <definedName name="埼玉県">都道府県シート!$K$3:$K$65</definedName>
    <definedName name="三重県">都道府県シート!$X$3:$X$31</definedName>
    <definedName name="山形県">都道府県シート!$F$3:$F$37</definedName>
    <definedName name="山口県">都道府県シート!$AI$3:$AI$21</definedName>
    <definedName name="山梨県">都道府県シート!$S$3:$S$29</definedName>
    <definedName name="滋賀県">都道府県シート!$Y$3:$Y$21</definedName>
    <definedName name="鹿児島県">都道府県シート!$AT$3:$AT$45</definedName>
    <definedName name="秋田県">都道府県シート!$E$3:$E$27</definedName>
    <definedName name="新潟県">都道府県シート!$O$3:$O$32</definedName>
    <definedName name="神奈川県">都道府県シート!$N$3:$N$35</definedName>
    <definedName name="青森県">都道府県シート!$B$3:$B$42</definedName>
    <definedName name="静岡県">都道府県シート!$V$3:$V$37</definedName>
    <definedName name="石川県">都道府県シート!$Q$3:$Q$21</definedName>
    <definedName name="千葉県">都道府県シート!$L$3:$L$56</definedName>
    <definedName name="大阪府">都道府県シート!$AA$3:$AA$45</definedName>
    <definedName name="大分県">都道府県シート!$AR$3:$AR$20</definedName>
    <definedName name="長崎県">都道府県シート!$AP$3:$AP$23</definedName>
    <definedName name="長野県">都道府県シート!$T$3:$T$79</definedName>
    <definedName name="鳥取県">都道府県シート!$AE$3:$AE$21</definedName>
    <definedName name="島根県">都道府県シート!$AF$3:$AF$21</definedName>
    <definedName name="東京都">都道府県シート!$M$3:$M$64</definedName>
    <definedName name="徳島県">都道府県シート!$AJ$3:$AJ$26</definedName>
    <definedName name="栃木県">都道府県シート!$I$3:$I$27</definedName>
    <definedName name="奈良県">都道府県シート!$AC$3:$AC$41</definedName>
    <definedName name="富山県">都道府県シート!$P$3:$P$17</definedName>
    <definedName name="福井県">都道府県シート!$R$3:$R$19</definedName>
    <definedName name="福岡県">都道府県シート!$AN$3:$AN$62</definedName>
    <definedName name="福島県">都道府県シート!$G$3:$G$61</definedName>
    <definedName name="兵庫県">都道府県シート!$AB$3:$AB$43</definedName>
    <definedName name="北海道">都道府県シート!$A$3:$A$187</definedName>
    <definedName name="和歌山県">都道府県シート!$AD$3:$AD$32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3" l="1"/>
  <c r="I42" i="3" l="1"/>
  <c r="I41" i="3"/>
  <c r="I40" i="3"/>
  <c r="B67" i="3" l="1"/>
  <c r="D43" i="3"/>
  <c r="D42" i="3"/>
  <c r="D41" i="3"/>
  <c r="D40" i="3"/>
  <c r="L28" i="2"/>
  <c r="S43" i="3"/>
  <c r="S42" i="3"/>
  <c r="S41" i="3"/>
  <c r="S40" i="3"/>
  <c r="N43" i="3"/>
  <c r="N42" i="3"/>
  <c r="N41" i="3"/>
  <c r="N40" i="3"/>
  <c r="G43" i="3"/>
  <c r="G42" i="3"/>
  <c r="G41" i="3"/>
  <c r="G40" i="3"/>
  <c r="B43" i="3"/>
  <c r="B42" i="3"/>
  <c r="B41" i="3"/>
  <c r="B40" i="3"/>
  <c r="J43" i="3" l="1"/>
  <c r="E43" i="3"/>
  <c r="J42" i="3"/>
  <c r="E42" i="3"/>
  <c r="J41" i="3"/>
  <c r="E41" i="3"/>
  <c r="J40" i="3"/>
  <c r="E40" i="3"/>
  <c r="M81" i="3"/>
  <c r="M82" i="3" s="1"/>
  <c r="J85" i="3"/>
  <c r="J84" i="3" s="1"/>
  <c r="N82" i="3" l="1"/>
  <c r="M83" i="3"/>
  <c r="N81" i="3"/>
  <c r="J83" i="3"/>
  <c r="K84" i="3"/>
  <c r="K85" i="3"/>
  <c r="P10" i="2"/>
  <c r="E65" i="3"/>
  <c r="E64" i="3"/>
  <c r="E66" i="3" l="1"/>
  <c r="N83" i="3"/>
  <c r="M84" i="3"/>
  <c r="K83" i="3"/>
  <c r="J82" i="3"/>
  <c r="J81" i="3" s="1"/>
  <c r="K81" i="3" s="1"/>
  <c r="T14" i="3"/>
  <c r="O14" i="3"/>
  <c r="H14" i="3"/>
  <c r="C23" i="3"/>
  <c r="C14" i="3"/>
  <c r="S14" i="3"/>
  <c r="S15" i="3"/>
  <c r="S16" i="3"/>
  <c r="S13" i="3"/>
  <c r="N14" i="3"/>
  <c r="N15" i="3"/>
  <c r="N16" i="3"/>
  <c r="N13" i="3"/>
  <c r="G14" i="3"/>
  <c r="G15" i="3"/>
  <c r="G16" i="3"/>
  <c r="G13" i="3"/>
  <c r="B14" i="3"/>
  <c r="B15" i="3"/>
  <c r="B16" i="3"/>
  <c r="B13" i="3"/>
  <c r="B23" i="3"/>
  <c r="B51" i="3"/>
  <c r="M32" i="2"/>
  <c r="M34" i="2"/>
  <c r="C43" i="3" l="1"/>
  <c r="F43" i="3"/>
  <c r="H43" i="3"/>
  <c r="K43" i="3"/>
  <c r="O43" i="3"/>
  <c r="T43" i="3"/>
  <c r="F42" i="3"/>
  <c r="C42" i="3"/>
  <c r="H42" i="3"/>
  <c r="K42" i="3"/>
  <c r="O42" i="3"/>
  <c r="T42" i="3"/>
  <c r="C15" i="3"/>
  <c r="H15" i="3"/>
  <c r="O15" i="3"/>
  <c r="T15" i="3"/>
  <c r="C41" i="3"/>
  <c r="F41" i="3"/>
  <c r="H41" i="3"/>
  <c r="K41" i="3"/>
  <c r="O41" i="3"/>
  <c r="T41" i="3"/>
  <c r="C16" i="3"/>
  <c r="H16" i="3"/>
  <c r="O16" i="3"/>
  <c r="T16" i="3"/>
  <c r="C40" i="3"/>
  <c r="F40" i="3"/>
  <c r="H40" i="3"/>
  <c r="K40" i="3"/>
  <c r="O40" i="3"/>
  <c r="T40" i="3"/>
  <c r="C13" i="3"/>
  <c r="H13" i="3"/>
  <c r="O13" i="3"/>
  <c r="T13" i="3"/>
  <c r="N84" i="3"/>
  <c r="M85" i="3"/>
  <c r="N85" i="3" s="1"/>
  <c r="K82" i="3"/>
  <c r="M39" i="2"/>
  <c r="F85" i="3"/>
  <c r="F84" i="3"/>
  <c r="F83" i="3"/>
  <c r="F82" i="3"/>
  <c r="D85" i="3"/>
  <c r="D84" i="3"/>
  <c r="D83" i="3"/>
  <c r="D82" i="3"/>
  <c r="M36" i="2" l="1"/>
  <c r="B60" i="3"/>
  <c r="B59" i="3"/>
  <c r="C59" i="3" s="1"/>
  <c r="M37" i="2" l="1"/>
  <c r="C24" i="2"/>
  <c r="K23" i="2" s="1"/>
  <c r="C23" i="2"/>
  <c r="K21" i="2" s="1"/>
  <c r="B85" i="3"/>
  <c r="C85" i="3" s="1"/>
  <c r="B84" i="3"/>
  <c r="C84" i="3" s="1"/>
  <c r="B83" i="3"/>
  <c r="C83" i="3" s="1"/>
  <c r="B82" i="3"/>
  <c r="C82" i="3" s="1"/>
  <c r="O59" i="3"/>
  <c r="N59" i="3"/>
  <c r="P59" i="3" s="1"/>
  <c r="C51" i="3"/>
  <c r="F52" i="3" s="1"/>
  <c r="G52" i="3" s="1"/>
  <c r="F51" i="3" s="1"/>
  <c r="G51" i="3" s="1"/>
  <c r="F50" i="3" s="1"/>
  <c r="G50" i="3" s="1"/>
  <c r="F49" i="3" s="1"/>
  <c r="B49" i="3"/>
  <c r="C49" i="3" s="1"/>
  <c r="S34" i="3"/>
  <c r="T34" i="3" s="1"/>
  <c r="N34" i="3"/>
  <c r="O34" i="3" s="1"/>
  <c r="I34" i="3"/>
  <c r="J34" i="3" s="1"/>
  <c r="G34" i="3"/>
  <c r="H34" i="3" s="1"/>
  <c r="D34" i="3"/>
  <c r="E34" i="3" s="1"/>
  <c r="B34" i="3"/>
  <c r="C34" i="3" s="1"/>
  <c r="S33" i="3"/>
  <c r="T33" i="3" s="1"/>
  <c r="N33" i="3"/>
  <c r="O33" i="3" s="1"/>
  <c r="I33" i="3"/>
  <c r="J33" i="3" s="1"/>
  <c r="G33" i="3"/>
  <c r="H33" i="3" s="1"/>
  <c r="D33" i="3"/>
  <c r="E33" i="3" s="1"/>
  <c r="B33" i="3"/>
  <c r="C33" i="3" s="1"/>
  <c r="S32" i="3"/>
  <c r="T32" i="3" s="1"/>
  <c r="N32" i="3"/>
  <c r="O32" i="3" s="1"/>
  <c r="I32" i="3"/>
  <c r="J32" i="3" s="1"/>
  <c r="G32" i="3"/>
  <c r="H32" i="3" s="1"/>
  <c r="D32" i="3"/>
  <c r="E32" i="3" s="1"/>
  <c r="B32" i="3"/>
  <c r="C32" i="3" s="1"/>
  <c r="S31" i="3"/>
  <c r="T31" i="3" s="1"/>
  <c r="N31" i="3"/>
  <c r="O31" i="3" s="1"/>
  <c r="I31" i="3"/>
  <c r="J31" i="3" s="1"/>
  <c r="G31" i="3"/>
  <c r="H31" i="3" s="1"/>
  <c r="D31" i="3"/>
  <c r="E31" i="3" s="1"/>
  <c r="B31" i="3"/>
  <c r="C31" i="3" s="1"/>
  <c r="S25" i="3"/>
  <c r="T25" i="3" s="1"/>
  <c r="N25" i="3"/>
  <c r="O25" i="3" s="1"/>
  <c r="I25" i="3"/>
  <c r="J25" i="3" s="1"/>
  <c r="G25" i="3"/>
  <c r="H25" i="3" s="1"/>
  <c r="D25" i="3"/>
  <c r="E25" i="3" s="1"/>
  <c r="B25" i="3"/>
  <c r="C25" i="3" s="1"/>
  <c r="S24" i="3"/>
  <c r="T24" i="3" s="1"/>
  <c r="N24" i="3"/>
  <c r="O24" i="3" s="1"/>
  <c r="I24" i="3"/>
  <c r="J24" i="3" s="1"/>
  <c r="G24" i="3"/>
  <c r="H24" i="3" s="1"/>
  <c r="D24" i="3"/>
  <c r="E24" i="3" s="1"/>
  <c r="B24" i="3"/>
  <c r="C24" i="3" s="1"/>
  <c r="S23" i="3"/>
  <c r="T23" i="3" s="1"/>
  <c r="N23" i="3"/>
  <c r="O23" i="3" s="1"/>
  <c r="I23" i="3"/>
  <c r="J23" i="3" s="1"/>
  <c r="G23" i="3"/>
  <c r="H23" i="3" s="1"/>
  <c r="D23" i="3"/>
  <c r="E23" i="3" s="1"/>
  <c r="S22" i="3"/>
  <c r="T22" i="3" s="1"/>
  <c r="N22" i="3"/>
  <c r="O22" i="3" s="1"/>
  <c r="I22" i="3"/>
  <c r="J22" i="3" s="1"/>
  <c r="G22" i="3"/>
  <c r="H22" i="3" s="1"/>
  <c r="D22" i="3"/>
  <c r="E22" i="3" s="1"/>
  <c r="B22" i="3"/>
  <c r="C22" i="3" s="1"/>
  <c r="I16" i="3"/>
  <c r="D16" i="3"/>
  <c r="I15" i="3"/>
  <c r="J15" i="3" s="1"/>
  <c r="D15" i="3"/>
  <c r="E15" i="3" s="1"/>
  <c r="I14" i="3"/>
  <c r="J14" i="3" s="1"/>
  <c r="D14" i="3"/>
  <c r="E14" i="3" s="1"/>
  <c r="I13" i="3"/>
  <c r="J13" i="3" s="1"/>
  <c r="D13" i="3"/>
  <c r="E13" i="3" s="1"/>
  <c r="P43" i="3" l="1"/>
  <c r="P42" i="3"/>
  <c r="P41" i="3"/>
  <c r="P40" i="3"/>
  <c r="U43" i="3"/>
  <c r="U42" i="3"/>
  <c r="U40" i="3"/>
  <c r="U41" i="3"/>
  <c r="F70" i="3"/>
  <c r="F71" i="3" s="1"/>
  <c r="F72" i="3" s="1"/>
  <c r="F73" i="3" s="1"/>
  <c r="F74" i="3" s="1"/>
  <c r="C70" i="3"/>
  <c r="C71" i="3" s="1"/>
  <c r="C72" i="3" s="1"/>
  <c r="C73" i="3" s="1"/>
  <c r="C74" i="3" s="1"/>
  <c r="I35" i="2"/>
  <c r="K54" i="3"/>
  <c r="K52" i="3" s="1"/>
  <c r="Q59" i="3"/>
  <c r="E31" i="2" s="1"/>
  <c r="E16" i="3"/>
  <c r="F16" i="3" s="1"/>
  <c r="J16" i="3"/>
  <c r="K16" i="3" s="1"/>
  <c r="C50" i="3"/>
  <c r="K14" i="2" s="1"/>
  <c r="G49" i="3"/>
  <c r="G53" i="3" s="1"/>
  <c r="P12" i="2" s="1"/>
  <c r="E84" i="3"/>
  <c r="P33" i="3"/>
  <c r="Q33" i="3" s="1"/>
  <c r="U34" i="3"/>
  <c r="V34" i="3" s="1"/>
  <c r="U15" i="3"/>
  <c r="V15" i="3" s="1"/>
  <c r="P13" i="3"/>
  <c r="Q13" i="3" s="1"/>
  <c r="P16" i="3"/>
  <c r="U14" i="3"/>
  <c r="U33" i="3"/>
  <c r="V33" i="3" s="1"/>
  <c r="U32" i="3"/>
  <c r="V32" i="3" s="1"/>
  <c r="U31" i="3"/>
  <c r="U25" i="3"/>
  <c r="V25" i="3" s="1"/>
  <c r="U24" i="3"/>
  <c r="V24" i="3" s="1"/>
  <c r="U23" i="3"/>
  <c r="V23" i="3" s="1"/>
  <c r="U22" i="3"/>
  <c r="V22" i="3" s="1"/>
  <c r="U16" i="3"/>
  <c r="P14" i="3"/>
  <c r="Q14" i="3" s="1"/>
  <c r="P34" i="3"/>
  <c r="Q34" i="3" s="1"/>
  <c r="P15" i="3"/>
  <c r="U13" i="3"/>
  <c r="V13" i="3" s="1"/>
  <c r="P32" i="3"/>
  <c r="Q32" i="3" s="1"/>
  <c r="P31" i="3"/>
  <c r="Q31" i="3" s="1"/>
  <c r="P25" i="3"/>
  <c r="Q25" i="3" s="1"/>
  <c r="P24" i="3"/>
  <c r="Q24" i="3" s="1"/>
  <c r="P23" i="3"/>
  <c r="Q23" i="3" s="1"/>
  <c r="P22" i="3"/>
  <c r="Q22" i="3" s="1"/>
  <c r="J41" i="2"/>
  <c r="E83" i="3"/>
  <c r="E85" i="3"/>
  <c r="J52" i="3"/>
  <c r="E82" i="3"/>
  <c r="K32" i="3"/>
  <c r="K34" i="3"/>
  <c r="K23" i="3"/>
  <c r="K25" i="3"/>
  <c r="K15" i="3"/>
  <c r="F14" i="3"/>
  <c r="K14" i="3"/>
  <c r="F15" i="3"/>
  <c r="K13" i="3"/>
  <c r="F13" i="3"/>
  <c r="K22" i="3"/>
  <c r="K24" i="3"/>
  <c r="K31" i="3"/>
  <c r="K33" i="3"/>
  <c r="F22" i="3"/>
  <c r="F23" i="3"/>
  <c r="F24" i="3"/>
  <c r="F25" i="3"/>
  <c r="F31" i="3"/>
  <c r="F32" i="3"/>
  <c r="F33" i="3"/>
  <c r="F34" i="3"/>
  <c r="J59" i="3"/>
  <c r="K59" i="3" s="1"/>
  <c r="C60" i="3"/>
  <c r="I64" i="3" s="1"/>
  <c r="J64" i="3" s="1"/>
  <c r="C75" i="3" l="1"/>
  <c r="C76" i="3" s="1"/>
  <c r="C77" i="3" s="1"/>
  <c r="Q41" i="3"/>
  <c r="R41" i="3" s="1"/>
  <c r="Q43" i="3"/>
  <c r="R43" i="3" s="1"/>
  <c r="Q40" i="3"/>
  <c r="R40" i="3" s="1"/>
  <c r="V42" i="3"/>
  <c r="W42" i="3" s="1"/>
  <c r="V40" i="3"/>
  <c r="W40" i="3" s="1"/>
  <c r="Q42" i="3"/>
  <c r="R42" i="3" s="1"/>
  <c r="V41" i="3"/>
  <c r="W41" i="3" s="1"/>
  <c r="F75" i="3" s="1"/>
  <c r="F76" i="3" s="1"/>
  <c r="F77" i="3" s="1"/>
  <c r="V43" i="3"/>
  <c r="W43" i="3" s="1"/>
  <c r="K49" i="3"/>
  <c r="J49" i="3"/>
  <c r="J50" i="3"/>
  <c r="J51" i="3"/>
  <c r="P13" i="2"/>
  <c r="V16" i="3"/>
  <c r="W16" i="3" s="1"/>
  <c r="V14" i="3"/>
  <c r="W14" i="3" s="1"/>
  <c r="Q15" i="3"/>
  <c r="R15" i="3" s="1"/>
  <c r="V31" i="3"/>
  <c r="W31" i="3" s="1"/>
  <c r="Q16" i="3"/>
  <c r="R16" i="3" s="1"/>
  <c r="W15" i="3"/>
  <c r="R22" i="3"/>
  <c r="R31" i="3"/>
  <c r="R14" i="3"/>
  <c r="W24" i="3"/>
  <c r="W33" i="3"/>
  <c r="F59" i="3"/>
  <c r="G59" i="3" s="1"/>
  <c r="K30" i="2"/>
  <c r="R32" i="3"/>
  <c r="C31" i="2"/>
  <c r="R59" i="3"/>
  <c r="S59" i="3" s="1"/>
  <c r="R13" i="3"/>
  <c r="W23" i="3"/>
  <c r="R24" i="3"/>
  <c r="R23" i="3"/>
  <c r="W32" i="3"/>
  <c r="R34" i="3"/>
  <c r="R33" i="3"/>
  <c r="W13" i="3"/>
  <c r="W34" i="3"/>
  <c r="W25" i="3"/>
  <c r="W22" i="3"/>
  <c r="R25" i="3"/>
  <c r="O60" i="3"/>
  <c r="Q60" i="3" s="1"/>
  <c r="J31" i="2" s="1"/>
  <c r="N60" i="3"/>
  <c r="P60" i="3" s="1"/>
  <c r="G31" i="2" s="1"/>
  <c r="F60" i="3"/>
  <c r="G60" i="3" s="1"/>
  <c r="N61" i="3"/>
  <c r="O61" i="3"/>
  <c r="Q61" i="3" s="1"/>
  <c r="N62" i="3"/>
  <c r="L52" i="3" l="1"/>
  <c r="M52" i="3" s="1"/>
  <c r="K51" i="3"/>
  <c r="K50" i="3"/>
  <c r="B50" i="3"/>
  <c r="F78" i="3"/>
  <c r="G29" i="2" s="1"/>
  <c r="R60" i="3"/>
  <c r="S60" i="3" s="1"/>
  <c r="K31" i="2" s="1"/>
  <c r="I33" i="2" s="1"/>
  <c r="P61" i="3"/>
  <c r="C78" i="3"/>
  <c r="L29" i="2" s="1"/>
  <c r="O63" i="3"/>
  <c r="Q63" i="3" s="1"/>
  <c r="N63" i="3"/>
  <c r="P63" i="3" s="1"/>
  <c r="E35" i="2" l="1"/>
  <c r="P34" i="2" s="1"/>
  <c r="L51" i="3"/>
  <c r="M51" i="3" s="1"/>
  <c r="L50" i="3" s="1"/>
  <c r="M50" i="3" s="1"/>
  <c r="L49" i="3" s="1"/>
  <c r="M49" i="3" s="1"/>
  <c r="M53" i="3" s="1"/>
  <c r="P11" i="2" s="1"/>
  <c r="I40" i="2"/>
  <c r="P39" i="2" s="1"/>
  <c r="R63" i="3"/>
  <c r="S63" i="3" s="1"/>
  <c r="R61" i="3"/>
  <c r="S61" i="3" s="1"/>
  <c r="B64" i="3"/>
  <c r="C64" i="3" s="1"/>
  <c r="E33" i="2" s="1"/>
  <c r="M35" i="2" l="1"/>
  <c r="M40" i="2"/>
  <c r="K64" i="3"/>
  <c r="N30" i="2" s="1"/>
  <c r="M33" i="2"/>
  <c r="P32" i="2" s="1"/>
  <c r="J42" i="2" l="1"/>
</calcChain>
</file>

<file path=xl/sharedStrings.xml><?xml version="1.0" encoding="utf-8"?>
<sst xmlns="http://schemas.openxmlformats.org/spreadsheetml/2006/main" count="2204" uniqueCount="1933">
  <si>
    <t>学校納付額</t>
    <rPh sb="0" eb="5">
      <t>ガッコウノウフガク</t>
    </rPh>
    <phoneticPr fontId="1"/>
  </si>
  <si>
    <t>入学金</t>
    <rPh sb="0" eb="3">
      <t>ニュウガクキン</t>
    </rPh>
    <phoneticPr fontId="1"/>
  </si>
  <si>
    <t>授業料</t>
    <rPh sb="0" eb="3">
      <t>ジュギョウリョウ</t>
    </rPh>
    <phoneticPr fontId="1"/>
  </si>
  <si>
    <t>実習費</t>
    <rPh sb="0" eb="2">
      <t>ジッシュウ</t>
    </rPh>
    <rPh sb="2" eb="3">
      <t>ヒ</t>
    </rPh>
    <phoneticPr fontId="1"/>
  </si>
  <si>
    <t>教材費</t>
    <rPh sb="0" eb="3">
      <t>キョウザイヒ</t>
    </rPh>
    <phoneticPr fontId="1"/>
  </si>
  <si>
    <t>その他納付額</t>
    <rPh sb="2" eb="3">
      <t>タ</t>
    </rPh>
    <rPh sb="3" eb="6">
      <t>ノウフガク</t>
    </rPh>
    <phoneticPr fontId="1"/>
  </si>
  <si>
    <t>円</t>
    <rPh sb="0" eb="1">
      <t>エン</t>
    </rPh>
    <phoneticPr fontId="1"/>
  </si>
  <si>
    <t>その他</t>
    <rPh sb="2" eb="3">
      <t>タ</t>
    </rPh>
    <phoneticPr fontId="1"/>
  </si>
  <si>
    <t>A</t>
    <phoneticPr fontId="1"/>
  </si>
  <si>
    <t>合計（２年生以降）</t>
    <rPh sb="0" eb="2">
      <t>ゴウケイ</t>
    </rPh>
    <rPh sb="4" eb="6">
      <t>ネンセイ</t>
    </rPh>
    <rPh sb="6" eb="8">
      <t>イコウ</t>
    </rPh>
    <phoneticPr fontId="1"/>
  </si>
  <si>
    <t>合計（入学時）</t>
    <rPh sb="0" eb="2">
      <t>ゴウケイ</t>
    </rPh>
    <rPh sb="3" eb="6">
      <t>ニュウガクジ</t>
    </rPh>
    <phoneticPr fontId="1"/>
  </si>
  <si>
    <t>その他必要経費</t>
    <rPh sb="2" eb="3">
      <t>タ</t>
    </rPh>
    <rPh sb="3" eb="7">
      <t>ヒツヨウケイヒ</t>
    </rPh>
    <phoneticPr fontId="1"/>
  </si>
  <si>
    <t>交通費</t>
    <rPh sb="0" eb="3">
      <t>コウツウヒ</t>
    </rPh>
    <phoneticPr fontId="1"/>
  </si>
  <si>
    <t>学用品</t>
    <rPh sb="0" eb="3">
      <t>ガクヨウヒン</t>
    </rPh>
    <phoneticPr fontId="1"/>
  </si>
  <si>
    <t>参考図書</t>
    <rPh sb="0" eb="4">
      <t>サンコウトショ</t>
    </rPh>
    <phoneticPr fontId="1"/>
  </si>
  <si>
    <t>高等教育の修学支援
新制度の対象</t>
    <rPh sb="0" eb="4">
      <t>コウトウキョウイク</t>
    </rPh>
    <rPh sb="5" eb="9">
      <t>シュウガクシエン</t>
    </rPh>
    <rPh sb="10" eb="13">
      <t>シンセイド</t>
    </rPh>
    <rPh sb="14" eb="16">
      <t>タイショウ</t>
    </rPh>
    <phoneticPr fontId="1"/>
  </si>
  <si>
    <t>区分</t>
    <rPh sb="0" eb="2">
      <t>クブン</t>
    </rPh>
    <phoneticPr fontId="1"/>
  </si>
  <si>
    <t>新制度利用状況</t>
    <rPh sb="0" eb="3">
      <t>シンセイド</t>
    </rPh>
    <rPh sb="3" eb="7">
      <t>リヨウジョウキョウ</t>
    </rPh>
    <phoneticPr fontId="1"/>
  </si>
  <si>
    <t>第</t>
    <rPh sb="0" eb="1">
      <t>ダイ</t>
    </rPh>
    <phoneticPr fontId="1"/>
  </si>
  <si>
    <t>授業料等減免金額
（年額）</t>
    <rPh sb="0" eb="4">
      <t>ジュギョウリョウトウ</t>
    </rPh>
    <rPh sb="4" eb="6">
      <t>ゲンメン</t>
    </rPh>
    <rPh sb="6" eb="8">
      <t>キンガク</t>
    </rPh>
    <rPh sb="10" eb="12">
      <t>ネンガク</t>
    </rPh>
    <phoneticPr fontId="1"/>
  </si>
  <si>
    <t>授業料：</t>
    <rPh sb="0" eb="3">
      <t>ジュギョウリョウ</t>
    </rPh>
    <phoneticPr fontId="1"/>
  </si>
  <si>
    <t>入学金：</t>
    <rPh sb="0" eb="3">
      <t>ニュウガクキン</t>
    </rPh>
    <phoneticPr fontId="1"/>
  </si>
  <si>
    <t>から</t>
    <phoneticPr fontId="1"/>
  </si>
  <si>
    <t>箇月</t>
    <rPh sb="0" eb="2">
      <t>カゲツ</t>
    </rPh>
    <phoneticPr fontId="1"/>
  </si>
  <si>
    <t>金　額</t>
    <rPh sb="0" eb="1">
      <t>キン</t>
    </rPh>
    <rPh sb="2" eb="3">
      <t>ガク</t>
    </rPh>
    <phoneticPr fontId="1"/>
  </si>
  <si>
    <t>①学費
　（月額50,000円以内）</t>
    <rPh sb="1" eb="3">
      <t>ガクヒ</t>
    </rPh>
    <rPh sb="6" eb="8">
      <t>ゲツガク</t>
    </rPh>
    <rPh sb="14" eb="15">
      <t>エン</t>
    </rPh>
    <rPh sb="15" eb="17">
      <t>イナイ</t>
    </rPh>
    <phoneticPr fontId="1"/>
  </si>
  <si>
    <t>②入学準備金
　（200,000円以内）</t>
    <rPh sb="1" eb="6">
      <t>ニュウガクジュンビキン</t>
    </rPh>
    <rPh sb="16" eb="17">
      <t>エン</t>
    </rPh>
    <rPh sb="17" eb="19">
      <t>イナイ</t>
    </rPh>
    <phoneticPr fontId="1"/>
  </si>
  <si>
    <t>③就職準備金
　（200,000円以内）</t>
    <rPh sb="1" eb="6">
      <t>シュウショクジュンビキン</t>
    </rPh>
    <rPh sb="16" eb="17">
      <t>エン</t>
    </rPh>
    <rPh sb="17" eb="19">
      <t>イナイ</t>
    </rPh>
    <phoneticPr fontId="1"/>
  </si>
  <si>
    <t>月額</t>
    <rPh sb="0" eb="2">
      <t>ゲツガク</t>
    </rPh>
    <phoneticPr fontId="1"/>
  </si>
  <si>
    <t>入学時</t>
    <rPh sb="0" eb="3">
      <t>ニュウガクジ</t>
    </rPh>
    <phoneticPr fontId="1"/>
  </si>
  <si>
    <t>卒業時</t>
    <rPh sb="0" eb="3">
      <t>ソツギョウジ</t>
    </rPh>
    <phoneticPr fontId="1"/>
  </si>
  <si>
    <t>×</t>
    <phoneticPr fontId="1"/>
  </si>
  <si>
    <t>箇月分</t>
    <rPh sb="0" eb="3">
      <t>カゲツブン</t>
    </rPh>
    <phoneticPr fontId="1"/>
  </si>
  <si>
    <t>=</t>
    <phoneticPr fontId="1"/>
  </si>
  <si>
    <t>回</t>
    <rPh sb="0" eb="1">
      <t>カイ</t>
    </rPh>
    <phoneticPr fontId="1"/>
  </si>
  <si>
    <t>学校納付額（入学時）計</t>
    <rPh sb="0" eb="5">
      <t>ガッコウノウフガク</t>
    </rPh>
    <rPh sb="6" eb="9">
      <t>ニュウガクジ</t>
    </rPh>
    <rPh sb="10" eb="11">
      <t>ケイ</t>
    </rPh>
    <phoneticPr fontId="1"/>
  </si>
  <si>
    <t>学校納付額（2年生以降）計</t>
    <rPh sb="0" eb="5">
      <t>ガッコウノウフガク</t>
    </rPh>
    <rPh sb="7" eb="9">
      <t>ネンセイ</t>
    </rPh>
    <rPh sb="9" eb="11">
      <t>イコウ</t>
    </rPh>
    <rPh sb="12" eb="13">
      <t>ケイ</t>
    </rPh>
    <phoneticPr fontId="1"/>
  </si>
  <si>
    <t>大学</t>
    <rPh sb="0" eb="2">
      <t>ダイガク</t>
    </rPh>
    <phoneticPr fontId="1"/>
  </si>
  <si>
    <t>短期大学</t>
    <rPh sb="0" eb="4">
      <t>タンキダイガク</t>
    </rPh>
    <phoneticPr fontId="1"/>
  </si>
  <si>
    <t>高等専門学校</t>
    <rPh sb="0" eb="6">
      <t>コウトウセンモンガッコウ</t>
    </rPh>
    <phoneticPr fontId="1"/>
  </si>
  <si>
    <t>専門学校</t>
    <rPh sb="0" eb="4">
      <t>センモンガッコウ</t>
    </rPh>
    <phoneticPr fontId="1"/>
  </si>
  <si>
    <t>国公立</t>
    <rPh sb="0" eb="3">
      <t>コッコウリツ</t>
    </rPh>
    <phoneticPr fontId="1"/>
  </si>
  <si>
    <t>私立</t>
    <rPh sb="0" eb="2">
      <t>ワタクシリツ</t>
    </rPh>
    <phoneticPr fontId="1"/>
  </si>
  <si>
    <t>Ⅰ</t>
    <phoneticPr fontId="1"/>
  </si>
  <si>
    <t>Ⅱ</t>
    <phoneticPr fontId="1"/>
  </si>
  <si>
    <t>Ⅲ</t>
    <phoneticPr fontId="1"/>
  </si>
  <si>
    <t>【入学金】</t>
    <rPh sb="1" eb="4">
      <t>ニュウガクキン</t>
    </rPh>
    <phoneticPr fontId="1"/>
  </si>
  <si>
    <t>【授業料】</t>
    <rPh sb="1" eb="4">
      <t>ジュギョウリョウ</t>
    </rPh>
    <phoneticPr fontId="1"/>
  </si>
  <si>
    <t>授業料等減免額の上限額</t>
    <rPh sb="0" eb="4">
      <t>ジュギョウリョウトウ</t>
    </rPh>
    <rPh sb="4" eb="7">
      <t>ゲンメンガク</t>
    </rPh>
    <rPh sb="8" eb="11">
      <t>ジョウゲンガク</t>
    </rPh>
    <phoneticPr fontId="1"/>
  </si>
  <si>
    <t>切捨て</t>
    <rPh sb="0" eb="2">
      <t>キリス</t>
    </rPh>
    <phoneticPr fontId="1"/>
  </si>
  <si>
    <t>養成施設名</t>
    <rPh sb="0" eb="5">
      <t>ヨウセイシセツメイ</t>
    </rPh>
    <phoneticPr fontId="1"/>
  </si>
  <si>
    <t>養成施設種別</t>
    <rPh sb="0" eb="4">
      <t>ヨウセイシセツ</t>
    </rPh>
    <rPh sb="4" eb="6">
      <t>シュベツ</t>
    </rPh>
    <phoneticPr fontId="1"/>
  </si>
  <si>
    <t>入学年月</t>
    <rPh sb="0" eb="4">
      <t>ニュウガクネンゲツ</t>
    </rPh>
    <phoneticPr fontId="1"/>
  </si>
  <si>
    <t>授業料（2年生以降の1年分）</t>
    <rPh sb="0" eb="3">
      <t>ジュギョウリョウ</t>
    </rPh>
    <rPh sb="5" eb="7">
      <t>ネンセイ</t>
    </rPh>
    <rPh sb="7" eb="9">
      <t>イコウ</t>
    </rPh>
    <rPh sb="11" eb="13">
      <t>ネンブン</t>
    </rPh>
    <phoneticPr fontId="1"/>
  </si>
  <si>
    <t>授業料（入学年の1年分）</t>
    <rPh sb="0" eb="3">
      <t>ジュギョウリョウ</t>
    </rPh>
    <rPh sb="4" eb="6">
      <t>ニュウガク</t>
    </rPh>
    <rPh sb="6" eb="7">
      <t>トシ</t>
    </rPh>
    <rPh sb="9" eb="11">
      <t>ネンブン</t>
    </rPh>
    <phoneticPr fontId="1"/>
  </si>
  <si>
    <t>本人データ</t>
    <rPh sb="0" eb="2">
      <t>ホンニン</t>
    </rPh>
    <phoneticPr fontId="1"/>
  </si>
  <si>
    <t>卒業年月</t>
    <rPh sb="0" eb="4">
      <t>ソツギョウネンゲツ</t>
    </rPh>
    <phoneticPr fontId="1"/>
  </si>
  <si>
    <t>文字列</t>
    <rPh sb="0" eb="3">
      <t>モジレツ</t>
    </rPh>
    <phoneticPr fontId="1"/>
  </si>
  <si>
    <t>【修学情報】</t>
    <rPh sb="1" eb="3">
      <t>シュウガク</t>
    </rPh>
    <rPh sb="3" eb="5">
      <t>ジョウホウ</t>
    </rPh>
    <phoneticPr fontId="1"/>
  </si>
  <si>
    <t>月額学費</t>
    <rPh sb="0" eb="2">
      <t>ゲツガク</t>
    </rPh>
    <rPh sb="2" eb="4">
      <t>ガクヒ</t>
    </rPh>
    <phoneticPr fontId="1"/>
  </si>
  <si>
    <t>(年額-減免)/12</t>
    <rPh sb="1" eb="3">
      <t>ネンガク</t>
    </rPh>
    <rPh sb="4" eb="6">
      <t>ゲンメン</t>
    </rPh>
    <phoneticPr fontId="1"/>
  </si>
  <si>
    <t>【月額学費】</t>
    <rPh sb="1" eb="5">
      <t>ゲツガクガクヒ</t>
    </rPh>
    <phoneticPr fontId="1"/>
  </si>
  <si>
    <t>小さい方選択</t>
    <rPh sb="0" eb="1">
      <t>チイ</t>
    </rPh>
    <rPh sb="3" eb="4">
      <t>ホウ</t>
    </rPh>
    <rPh sb="4" eb="6">
      <t>センタク</t>
    </rPh>
    <phoneticPr fontId="1"/>
  </si>
  <si>
    <t>国公立・私立</t>
    <rPh sb="0" eb="3">
      <t>コッコウリツ</t>
    </rPh>
    <rPh sb="4" eb="6">
      <t>シリツ</t>
    </rPh>
    <phoneticPr fontId="1"/>
  </si>
  <si>
    <t>【入学金計算用】</t>
    <rPh sb="1" eb="4">
      <t>ニュウガクキン</t>
    </rPh>
    <rPh sb="4" eb="7">
      <t>ケイサンヨウ</t>
    </rPh>
    <phoneticPr fontId="1"/>
  </si>
  <si>
    <t>本人区分→</t>
    <rPh sb="0" eb="2">
      <t>ホンニン</t>
    </rPh>
    <rPh sb="2" eb="4">
      <t>クブン</t>
    </rPh>
    <phoneticPr fontId="1"/>
  </si>
  <si>
    <t>国公立大学</t>
    <rPh sb="0" eb="5">
      <t>コッコウリツダイガク</t>
    </rPh>
    <phoneticPr fontId="1"/>
  </si>
  <si>
    <t>国公立短期大学</t>
    <rPh sb="0" eb="3">
      <t>コッコウリツ</t>
    </rPh>
    <rPh sb="3" eb="7">
      <t>タンキダイガク</t>
    </rPh>
    <phoneticPr fontId="1"/>
  </si>
  <si>
    <t>国公立高等専門学校</t>
    <rPh sb="0" eb="3">
      <t>コッコウリツ</t>
    </rPh>
    <rPh sb="3" eb="5">
      <t>コウトウ</t>
    </rPh>
    <rPh sb="5" eb="9">
      <t>センモンガッコウ</t>
    </rPh>
    <phoneticPr fontId="1"/>
  </si>
  <si>
    <t>国公立専門学校</t>
    <rPh sb="0" eb="3">
      <t>コッコウリツ</t>
    </rPh>
    <rPh sb="3" eb="7">
      <t>センモンガッコウ</t>
    </rPh>
    <phoneticPr fontId="1"/>
  </si>
  <si>
    <t>私立大学</t>
    <rPh sb="0" eb="2">
      <t>シリツ</t>
    </rPh>
    <rPh sb="2" eb="4">
      <t>ダイガク</t>
    </rPh>
    <phoneticPr fontId="1"/>
  </si>
  <si>
    <t>私立短期大学</t>
    <rPh sb="0" eb="2">
      <t>シリツ</t>
    </rPh>
    <rPh sb="2" eb="6">
      <t>タンキダイガク</t>
    </rPh>
    <phoneticPr fontId="1"/>
  </si>
  <si>
    <t>私立高等専門学校</t>
    <rPh sb="0" eb="2">
      <t>シリツ</t>
    </rPh>
    <rPh sb="2" eb="4">
      <t>コウトウ</t>
    </rPh>
    <rPh sb="4" eb="8">
      <t>センモンガッコウ</t>
    </rPh>
    <phoneticPr fontId="1"/>
  </si>
  <si>
    <t>私立専門学校</t>
    <rPh sb="0" eb="2">
      <t>シリツ</t>
    </rPh>
    <rPh sb="2" eb="6">
      <t>センモンガッコウ</t>
    </rPh>
    <phoneticPr fontId="1"/>
  </si>
  <si>
    <t>合計</t>
    <rPh sb="0" eb="2">
      <t>ゴウケイ</t>
    </rPh>
    <phoneticPr fontId="1"/>
  </si>
  <si>
    <t>■修学に係る費用（見込）　※年額</t>
    <phoneticPr fontId="1"/>
  </si>
  <si>
    <t>（千円未満切り捨て）</t>
    <phoneticPr fontId="1"/>
  </si>
  <si>
    <t>切り上げ</t>
    <rPh sb="0" eb="1">
      <t>キ</t>
    </rPh>
    <rPh sb="2" eb="3">
      <t>ア</t>
    </rPh>
    <phoneticPr fontId="1"/>
  </si>
  <si>
    <t>自己負担</t>
    <rPh sb="0" eb="4">
      <t>ジコフタン</t>
    </rPh>
    <phoneticPr fontId="1"/>
  </si>
  <si>
    <t>=</t>
  </si>
  <si>
    <t>入学時</t>
    <phoneticPr fontId="1"/>
  </si>
  <si>
    <t>卒業時</t>
    <phoneticPr fontId="1"/>
  </si>
  <si>
    <t>箇月分</t>
    <phoneticPr fontId="1"/>
  </si>
  <si>
    <t>回</t>
    <phoneticPr fontId="1"/>
  </si>
  <si>
    <t>合　計</t>
    <phoneticPr fontId="1"/>
  </si>
  <si>
    <t>　（あなたの上限額）</t>
    <phoneticPr fontId="1"/>
  </si>
  <si>
    <t>　（あなたの上限額）</t>
    <rPh sb="6" eb="9">
      <t>ジョウゲンガク</t>
    </rPh>
    <phoneticPr fontId="1"/>
  </si>
  <si>
    <t>（あなたの上限額）</t>
    <rPh sb="5" eb="8">
      <t>ジョウゲンガク</t>
    </rPh>
    <phoneticPr fontId="1"/>
  </si>
  <si>
    <t>■修学資金の借入希望について</t>
    <rPh sb="1" eb="5">
      <t>シュウガクシキン</t>
    </rPh>
    <rPh sb="6" eb="10">
      <t>カリイレキボウ</t>
    </rPh>
    <phoneticPr fontId="1"/>
  </si>
  <si>
    <t>■修学先に関する事項</t>
    <rPh sb="1" eb="4">
      <t>シュウガクサキ</t>
    </rPh>
    <rPh sb="5" eb="6">
      <t>カン</t>
    </rPh>
    <rPh sb="8" eb="10">
      <t>ジコウ</t>
    </rPh>
    <phoneticPr fontId="1"/>
  </si>
  <si>
    <t>に必要事項を入力または選択のうえ印刷し、提出してください。</t>
    <rPh sb="1" eb="5">
      <t>ヒツヨウジコウ</t>
    </rPh>
    <rPh sb="6" eb="8">
      <t>ニュウリョク</t>
    </rPh>
    <rPh sb="11" eb="13">
      <t>センタク</t>
    </rPh>
    <rPh sb="16" eb="18">
      <t>インサツ</t>
    </rPh>
    <rPh sb="20" eb="22">
      <t>テイシュツ</t>
    </rPh>
    <phoneticPr fontId="1"/>
  </si>
  <si>
    <t>※０円の場合も０を入力してください。</t>
    <rPh sb="2" eb="3">
      <t>エン</t>
    </rPh>
    <rPh sb="4" eb="6">
      <t>バアイ</t>
    </rPh>
    <rPh sb="9" eb="11">
      <t>ニュウリョク</t>
    </rPh>
    <phoneticPr fontId="1"/>
  </si>
  <si>
    <t>年生</t>
    <rPh sb="0" eb="2">
      <t>ネンセイ</t>
    </rPh>
    <phoneticPr fontId="1"/>
  </si>
  <si>
    <t>日付に変換</t>
    <rPh sb="0" eb="2">
      <t>ヒヅケ</t>
    </rPh>
    <rPh sb="3" eb="5">
      <t>ヘンカン</t>
    </rPh>
    <phoneticPr fontId="1"/>
  </si>
  <si>
    <t>修業月数</t>
    <rPh sb="0" eb="2">
      <t>シュウギョウ</t>
    </rPh>
    <rPh sb="2" eb="4">
      <t>ツキスウ</t>
    </rPh>
    <phoneticPr fontId="1"/>
  </si>
  <si>
    <t>【本人希望金額】</t>
    <rPh sb="1" eb="3">
      <t>ホンニン</t>
    </rPh>
    <rPh sb="3" eb="5">
      <t>キボウ</t>
    </rPh>
    <rPh sb="5" eb="7">
      <t>キンガク</t>
    </rPh>
    <phoneticPr fontId="1"/>
  </si>
  <si>
    <t>回数</t>
    <rPh sb="0" eb="2">
      <t>カイスウ</t>
    </rPh>
    <phoneticPr fontId="1"/>
  </si>
  <si>
    <t>総額</t>
    <rPh sb="0" eb="2">
      <t>ソウガク</t>
    </rPh>
    <phoneticPr fontId="1"/>
  </si>
  <si>
    <t>学費</t>
    <rPh sb="0" eb="2">
      <t>ガクヒ</t>
    </rPh>
    <phoneticPr fontId="1"/>
  </si>
  <si>
    <t>入学準備金</t>
    <rPh sb="0" eb="5">
      <t>ニュウガクジュンビキン</t>
    </rPh>
    <phoneticPr fontId="1"/>
  </si>
  <si>
    <t>就職準備金</t>
    <rPh sb="0" eb="5">
      <t>シュウショクジュンビキン</t>
    </rPh>
    <phoneticPr fontId="1"/>
  </si>
  <si>
    <t>【借入希望期間】</t>
    <rPh sb="1" eb="7">
      <t>カリイレキボウキカン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</si>
  <si>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</si>
  <si>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</si>
  <si>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修学資金の借入希望期間</t>
    <rPh sb="0" eb="4">
      <t>シュウガクシキン</t>
    </rPh>
    <rPh sb="5" eb="6">
      <t>カ</t>
    </rPh>
    <rPh sb="6" eb="7">
      <t>イ</t>
    </rPh>
    <rPh sb="7" eb="11">
      <t>キボウキカン</t>
    </rPh>
    <phoneticPr fontId="1"/>
  </si>
  <si>
    <t>【借入希望期間誤りチェック】</t>
    <rPh sb="1" eb="7">
      <t>カリイレキボウキカン</t>
    </rPh>
    <rPh sb="7" eb="8">
      <t>アヤマ</t>
    </rPh>
    <phoneticPr fontId="1"/>
  </si>
  <si>
    <t>反映用</t>
    <rPh sb="0" eb="3">
      <t>ハンエイヨウ</t>
    </rPh>
    <phoneticPr fontId="1"/>
  </si>
  <si>
    <t>判定用</t>
    <rPh sb="0" eb="3">
      <t>ハンテイヨウ</t>
    </rPh>
    <phoneticPr fontId="1"/>
  </si>
  <si>
    <t>【学年誤りチェック】</t>
    <rPh sb="1" eb="3">
      <t>ガクネン</t>
    </rPh>
    <rPh sb="3" eb="4">
      <t>アヤマ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</si>
  <si>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</si>
  <si>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</si>
  <si>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</si>
  <si>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学年</t>
    <rPh sb="0" eb="2">
      <t>ガクネン</t>
    </rPh>
    <phoneticPr fontId="1"/>
  </si>
  <si>
    <t>4年</t>
    <rPh sb="1" eb="2">
      <t>ネン</t>
    </rPh>
    <phoneticPr fontId="1"/>
  </si>
  <si>
    <t>【借入希望期間1箇月未満チェック】</t>
    <rPh sb="1" eb="7">
      <t>カリイレキボウキカン</t>
    </rPh>
    <rPh sb="8" eb="10">
      <t>カゲツ</t>
    </rPh>
    <rPh sb="10" eb="12">
      <t>ミマン</t>
    </rPh>
    <phoneticPr fontId="1"/>
  </si>
  <si>
    <t>借入希望期間⇒</t>
    <rPh sb="0" eb="6">
      <t>カリイレキボウキカン</t>
    </rPh>
    <phoneticPr fontId="1"/>
  </si>
  <si>
    <t>養成施設所在地</t>
    <rPh sb="0" eb="4">
      <t>ヨウセイシセツ</t>
    </rPh>
    <rPh sb="4" eb="7">
      <t>ショザイチ</t>
    </rPh>
    <phoneticPr fontId="1"/>
  </si>
  <si>
    <t>養成施設入学年月</t>
    <rPh sb="0" eb="2">
      <t>ヨウセイ</t>
    </rPh>
    <rPh sb="2" eb="4">
      <t>シセツ</t>
    </rPh>
    <rPh sb="4" eb="8">
      <t>ニュウガクネンゲツ</t>
    </rPh>
    <phoneticPr fontId="1"/>
  </si>
  <si>
    <t>貸付申請時学年</t>
    <rPh sb="0" eb="2">
      <t>カシツケ</t>
    </rPh>
    <rPh sb="2" eb="5">
      <t>シンセイジ</t>
    </rPh>
    <rPh sb="5" eb="7">
      <t>ガクネン</t>
    </rPh>
    <phoneticPr fontId="1"/>
  </si>
  <si>
    <t>養成施設修業年限</t>
    <rPh sb="0" eb="4">
      <t>ヨウセイシセツ</t>
    </rPh>
    <rPh sb="4" eb="8">
      <t>シュウギョウネンゲン</t>
    </rPh>
    <phoneticPr fontId="1"/>
  </si>
  <si>
    <t>養成施設卒業年月</t>
    <rPh sb="0" eb="4">
      <t>ヨウセイシセツ</t>
    </rPh>
    <rPh sb="4" eb="6">
      <t>ソツギョウ</t>
    </rPh>
    <rPh sb="6" eb="8">
      <t>ネンゲツ</t>
    </rPh>
    <phoneticPr fontId="1"/>
  </si>
  <si>
    <t>北海道</t>
    <phoneticPr fontId="3"/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</si>
  <si>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</si>
  <si>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</si>
  <si>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</si>
  <si>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</si>
  <si>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</si>
  <si>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</si>
  <si>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</si>
  <si>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</si>
  <si>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</si>
  <si>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</si>
  <si>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</si>
  <si>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</si>
  <si>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</si>
  <si>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</si>
  <si>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</si>
  <si>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</si>
  <si>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</si>
  <si>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</si>
  <si>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</si>
  <si>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</si>
  <si>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</si>
  <si>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</si>
  <si>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</si>
  <si>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</si>
  <si>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</si>
  <si>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</si>
  <si>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</si>
  <si>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</si>
  <si>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</si>
  <si>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</si>
  <si>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</si>
  <si>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</si>
  <si>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</si>
  <si>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</si>
  <si>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</si>
  <si>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</si>
  <si>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</si>
  <si>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</si>
  <si>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</si>
  <si>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</si>
  <si>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</si>
  <si>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</si>
  <si>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</si>
  <si>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</si>
  <si>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</si>
  <si>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</si>
  <si>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</si>
  <si>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</si>
  <si>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</si>
  <si>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</si>
  <si>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</si>
  <si>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</si>
  <si>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</si>
  <si>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</si>
  <si>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</si>
  <si>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</si>
  <si>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</si>
  <si>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</si>
  <si>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</si>
  <si>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</si>
  <si>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</si>
  <si>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</si>
  <si>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</si>
  <si>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</si>
  <si>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</si>
  <si>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</si>
  <si>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</si>
  <si>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</si>
  <si>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</si>
  <si>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</si>
  <si>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</si>
  <si>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</si>
  <si>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</si>
  <si>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</si>
  <si>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</si>
  <si>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</si>
  <si>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</si>
  <si>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</si>
  <si>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</si>
  <si>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</si>
  <si>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</si>
  <si>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</si>
  <si>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</si>
  <si>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</si>
  <si>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</si>
  <si>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</si>
  <si>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</si>
  <si>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</si>
  <si>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</si>
  <si>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</si>
  <si>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</si>
  <si>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</si>
  <si>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</si>
  <si>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</si>
  <si>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</si>
  <si>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</si>
  <si>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</si>
  <si>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</si>
  <si>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</si>
  <si>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</si>
  <si>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</si>
  <si>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</si>
  <si>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</si>
  <si>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</si>
  <si>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</si>
  <si>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</si>
  <si>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</si>
  <si>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</si>
  <si>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</si>
  <si>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</si>
  <si>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</si>
  <si>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</si>
  <si>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</si>
  <si>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</si>
  <si>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</si>
  <si>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</si>
  <si>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</si>
  <si>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</si>
  <si>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</si>
  <si>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</si>
  <si>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</si>
  <si>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</si>
  <si>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</si>
  <si>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</si>
  <si>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</si>
  <si>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</si>
  <si>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</si>
  <si>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</si>
  <si>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</si>
  <si>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</si>
  <si>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</si>
  <si>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</si>
  <si>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</si>
  <si>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</si>
  <si>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</si>
  <si>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</si>
  <si>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</si>
  <si>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</si>
  <si>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</si>
  <si>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</si>
  <si>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</si>
  <si>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</si>
  <si>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</si>
  <si>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</si>
  <si>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</si>
  <si>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</si>
  <si>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</si>
  <si>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</si>
  <si>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</si>
  <si>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</si>
  <si>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</si>
  <si>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</si>
  <si>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</si>
  <si>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</si>
  <si>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</si>
  <si>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</si>
  <si>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</si>
  <si>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</si>
  <si>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</si>
  <si>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</si>
  <si>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</si>
  <si>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</si>
  <si>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</si>
  <si>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</si>
  <si>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</si>
  <si>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</si>
  <si>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</si>
  <si>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</si>
  <si>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</si>
  <si>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</si>
  <si>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</si>
  <si>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</si>
  <si>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</si>
  <si>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</si>
  <si>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</si>
  <si>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  <phoneticPr fontId="3"/>
  </si>
  <si>
    <t>中標津町</t>
  </si>
  <si>
    <t>標津町</t>
  </si>
  <si>
    <t>羅臼町</t>
  </si>
  <si>
    <t>色丹村</t>
    <rPh sb="0" eb="3">
      <t>シコタンムラ</t>
    </rPh>
    <phoneticPr fontId="3"/>
  </si>
  <si>
    <t>泊村</t>
    <rPh sb="0" eb="2">
      <t>トマリムラ</t>
    </rPh>
    <phoneticPr fontId="3"/>
  </si>
  <si>
    <t>留夜別村</t>
    <phoneticPr fontId="3"/>
  </si>
  <si>
    <t>留別村</t>
    <phoneticPr fontId="3"/>
  </si>
  <si>
    <t>紗那村</t>
    <phoneticPr fontId="3"/>
  </si>
  <si>
    <t>蘂取村</t>
    <phoneticPr fontId="3"/>
  </si>
  <si>
    <t>青森県</t>
    <phoneticPr fontId="3"/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</si>
  <si>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</si>
  <si>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</si>
  <si>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</si>
  <si>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</si>
  <si>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</si>
  <si>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</si>
  <si>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</si>
  <si>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</si>
  <si>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</si>
  <si>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</si>
  <si>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</si>
  <si>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</si>
  <si>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</si>
  <si>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</si>
  <si>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</si>
  <si>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</si>
  <si>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</si>
  <si>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</si>
  <si>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</si>
  <si>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</si>
  <si>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</si>
  <si>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</si>
  <si>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</si>
  <si>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</si>
  <si>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</si>
  <si>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</si>
  <si>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</si>
  <si>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</si>
  <si>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</si>
  <si>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</si>
  <si>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</si>
  <si>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</si>
  <si>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</si>
  <si>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</si>
  <si>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</si>
  <si>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</si>
  <si>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</si>
  <si>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</si>
  <si>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</si>
  <si>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</si>
  <si>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  <phoneticPr fontId="3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</si>
  <si>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</si>
  <si>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</si>
  <si>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</si>
  <si>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</si>
  <si>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</si>
  <si>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</si>
  <si>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</si>
  <si>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</si>
  <si>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</si>
  <si>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</si>
  <si>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</si>
  <si>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</si>
  <si>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</si>
  <si>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3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</si>
  <si>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</si>
  <si>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</si>
  <si>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</si>
  <si>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</si>
  <si>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</si>
  <si>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</si>
  <si>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</si>
  <si>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</si>
  <si>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</si>
  <si>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</si>
  <si>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</si>
  <si>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</si>
  <si>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</si>
  <si>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</si>
  <si>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</si>
  <si>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</si>
  <si>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</si>
  <si>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</si>
  <si>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</si>
  <si>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  <phoneticPr fontId="3"/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</si>
  <si>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</si>
  <si>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</si>
  <si>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</si>
  <si>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</si>
  <si>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</si>
  <si>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</si>
  <si>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</si>
  <si>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</si>
  <si>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</si>
  <si>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</si>
  <si>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</si>
  <si>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</si>
  <si>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</si>
  <si>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3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</si>
  <si>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</si>
  <si>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</si>
  <si>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</si>
  <si>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</si>
  <si>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</si>
  <si>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</si>
  <si>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</si>
  <si>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</si>
  <si>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</si>
  <si>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</si>
  <si>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</si>
  <si>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</si>
  <si>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</si>
  <si>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</si>
  <si>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</si>
  <si>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</si>
  <si>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</si>
  <si>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</si>
  <si>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</si>
  <si>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</si>
  <si>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</si>
  <si>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  <phoneticPr fontId="3"/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</si>
  <si>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</si>
  <si>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</si>
  <si>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</si>
  <si>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</si>
  <si>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</si>
  <si>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</si>
  <si>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</si>
  <si>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</si>
  <si>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</si>
  <si>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</si>
  <si>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</si>
  <si>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</si>
  <si>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</si>
  <si>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</si>
  <si>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</si>
  <si>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</si>
  <si>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</si>
  <si>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</si>
  <si>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</si>
  <si>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</si>
  <si>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</si>
  <si>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</si>
  <si>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</si>
  <si>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</si>
  <si>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</si>
  <si>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  <phoneticPr fontId="3"/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</si>
  <si>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</si>
  <si>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</si>
  <si>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</si>
  <si>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</si>
  <si>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</si>
  <si>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</si>
  <si>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</si>
  <si>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</si>
  <si>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</si>
  <si>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</si>
  <si>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</si>
  <si>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</si>
  <si>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</si>
  <si>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</si>
  <si>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</si>
  <si>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</si>
  <si>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</si>
  <si>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</si>
  <si>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</si>
  <si>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</si>
  <si>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</si>
  <si>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</si>
  <si>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</si>
  <si>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</si>
  <si>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</si>
  <si>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</si>
  <si>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</si>
  <si>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</si>
  <si>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</si>
  <si>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</si>
  <si>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</si>
  <si>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</si>
  <si>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</si>
  <si>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</si>
  <si>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</si>
  <si>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  <phoneticPr fontId="3"/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</si>
  <si>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</si>
  <si>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</si>
  <si>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</si>
  <si>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</si>
  <si>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</si>
  <si>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</si>
  <si>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</si>
  <si>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</si>
  <si>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</si>
  <si>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</si>
  <si>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</si>
  <si>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</si>
  <si>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</si>
  <si>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</si>
  <si>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</si>
  <si>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</si>
  <si>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</si>
  <si>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</si>
  <si>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</si>
  <si>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</si>
  <si>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</si>
  <si>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</si>
  <si>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</si>
  <si>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</si>
  <si>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</si>
  <si>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</si>
  <si>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</si>
  <si>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</si>
  <si>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</si>
  <si>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</si>
  <si>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</si>
  <si>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</si>
  <si>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</si>
  <si>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</si>
  <si>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</si>
  <si>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</si>
  <si>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</si>
  <si>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</si>
  <si>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</si>
  <si>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</si>
  <si>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</si>
  <si>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</si>
  <si>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</si>
  <si>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</si>
  <si>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</si>
  <si>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</si>
  <si>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</si>
  <si>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</si>
  <si>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</si>
  <si>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</si>
  <si>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</si>
  <si>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</si>
  <si>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</si>
  <si>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</si>
  <si>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</si>
  <si>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</si>
  <si>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</si>
  <si>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  <phoneticPr fontId="3"/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</si>
  <si>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</si>
  <si>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</si>
  <si>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</si>
  <si>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</si>
  <si>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</si>
  <si>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</si>
  <si>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</si>
  <si>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</si>
  <si>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</si>
  <si>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</si>
  <si>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</si>
  <si>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</si>
  <si>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</si>
  <si>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</si>
  <si>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</si>
  <si>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</si>
  <si>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</si>
  <si>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</si>
  <si>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</si>
  <si>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</si>
  <si>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</si>
  <si>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</si>
  <si>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</si>
  <si>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</si>
  <si>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</si>
  <si>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</si>
  <si>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</si>
  <si>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</si>
  <si>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</si>
  <si>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</si>
  <si>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</si>
  <si>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</si>
  <si>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</si>
  <si>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</si>
  <si>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</si>
  <si>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</si>
  <si>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</si>
  <si>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</si>
  <si>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</si>
  <si>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</si>
  <si>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</si>
  <si>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</si>
  <si>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</si>
  <si>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</si>
  <si>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  <phoneticPr fontId="3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</si>
  <si>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</si>
  <si>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</si>
  <si>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</si>
  <si>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</si>
  <si>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</si>
  <si>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</si>
  <si>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</si>
  <si>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</si>
  <si>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</si>
  <si>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</si>
  <si>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</si>
  <si>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</si>
  <si>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</si>
  <si>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</si>
  <si>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</si>
  <si>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</si>
  <si>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</si>
  <si>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</si>
  <si>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</si>
  <si>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</si>
  <si>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</si>
  <si>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</si>
  <si>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</si>
  <si>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</si>
  <si>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</si>
  <si>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  <phoneticPr fontId="3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</si>
  <si>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</si>
  <si>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</si>
  <si>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</si>
  <si>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</si>
  <si>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</si>
  <si>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</si>
  <si>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</si>
  <si>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</si>
  <si>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</si>
  <si>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</si>
  <si>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</si>
  <si>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</si>
  <si>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</si>
  <si>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</si>
  <si>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</si>
  <si>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</si>
  <si>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</si>
  <si>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</si>
  <si>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</si>
  <si>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</si>
  <si>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</si>
  <si>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</si>
  <si>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</si>
  <si>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</si>
  <si>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</si>
  <si>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</si>
  <si>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</si>
  <si>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</si>
  <si>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</si>
  <si>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</si>
  <si>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</si>
  <si>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</si>
  <si>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</si>
  <si>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</si>
  <si>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</si>
  <si>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</si>
  <si>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</si>
  <si>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</si>
  <si>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</si>
  <si>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</si>
  <si>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</si>
  <si>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</si>
  <si>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</si>
  <si>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</si>
  <si>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</si>
  <si>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</si>
  <si>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</si>
  <si>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</si>
  <si>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</si>
  <si>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</si>
  <si>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</si>
  <si>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</si>
  <si>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</si>
  <si>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</si>
  <si>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</si>
  <si>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</si>
  <si>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</si>
  <si>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</si>
  <si>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</si>
  <si>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</si>
  <si>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</si>
  <si>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</si>
  <si>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</si>
  <si>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</si>
  <si>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</si>
  <si>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</si>
  <si>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</si>
  <si>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</si>
  <si>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</si>
  <si>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</si>
  <si>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</si>
  <si>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</si>
  <si>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</si>
  <si>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</si>
  <si>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3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</si>
  <si>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</si>
  <si>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</si>
  <si>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</si>
  <si>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</si>
  <si>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</si>
  <si>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</si>
  <si>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</si>
  <si>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</si>
  <si>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</si>
  <si>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</si>
  <si>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</si>
  <si>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</si>
  <si>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</si>
  <si>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</si>
  <si>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</si>
  <si>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</si>
  <si>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</si>
  <si>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</si>
  <si>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</si>
  <si>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</si>
  <si>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</si>
  <si>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</si>
  <si>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  <phoneticPr fontId="3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</si>
  <si>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</si>
  <si>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</si>
  <si>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</si>
  <si>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</si>
  <si>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</si>
  <si>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</si>
  <si>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</si>
  <si>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</si>
  <si>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</si>
  <si>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</si>
  <si>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</si>
  <si>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</si>
  <si>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</si>
  <si>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</si>
  <si>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</si>
  <si>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</si>
  <si>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</si>
  <si>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</si>
  <si>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</si>
  <si>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</si>
  <si>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</si>
  <si>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</si>
  <si>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</si>
  <si>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</si>
  <si>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</si>
  <si>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</si>
  <si>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</si>
  <si>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</si>
  <si>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</si>
  <si>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</si>
  <si>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</si>
  <si>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</si>
  <si>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</si>
  <si>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</si>
  <si>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</si>
  <si>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</si>
  <si>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</si>
  <si>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</si>
  <si>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</si>
  <si>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</si>
  <si>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</si>
  <si>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</si>
  <si>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</si>
  <si>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</si>
  <si>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</si>
  <si>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</si>
  <si>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</si>
  <si>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</si>
  <si>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</si>
  <si>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</si>
  <si>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</si>
  <si>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</si>
  <si>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</si>
  <si>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</si>
  <si>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  <phoneticPr fontId="3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</si>
  <si>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</si>
  <si>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</si>
  <si>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</si>
  <si>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</si>
  <si>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</si>
  <si>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</si>
  <si>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</si>
  <si>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</si>
  <si>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</si>
  <si>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</si>
  <si>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</si>
  <si>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</si>
  <si>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</si>
  <si>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</si>
  <si>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</si>
  <si>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</si>
  <si>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</si>
  <si>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</si>
  <si>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</si>
  <si>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</si>
  <si>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</si>
  <si>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</si>
  <si>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</si>
  <si>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</si>
  <si>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</si>
  <si>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</si>
  <si>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</si>
  <si>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</si>
  <si>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</si>
  <si>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</si>
  <si>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</si>
  <si>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</si>
  <si>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</si>
  <si>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</si>
  <si>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</si>
  <si>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</si>
  <si>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</si>
  <si>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</si>
  <si>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</si>
  <si>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</si>
  <si>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</si>
  <si>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</si>
  <si>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</si>
  <si>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</si>
  <si>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</si>
  <si>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</si>
  <si>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</si>
  <si>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</si>
  <si>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</si>
  <si>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</si>
  <si>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</si>
  <si>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</si>
  <si>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</si>
  <si>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</si>
  <si>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</si>
  <si>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</si>
  <si>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</si>
  <si>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</si>
  <si>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</si>
  <si>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</si>
  <si>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</si>
  <si>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</si>
  <si>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</si>
  <si>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</si>
  <si>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</si>
  <si>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</si>
  <si>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</si>
  <si>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</si>
  <si>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</si>
  <si>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</si>
  <si>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</si>
  <si>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</si>
  <si>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</si>
  <si>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</si>
  <si>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</si>
  <si>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</si>
  <si>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</si>
  <si>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</si>
  <si>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</si>
  <si>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</si>
  <si>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</si>
  <si>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</si>
  <si>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</si>
  <si>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</si>
  <si>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</si>
  <si>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</si>
  <si>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</si>
  <si>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</si>
  <si>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</si>
  <si>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</si>
  <si>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</si>
  <si>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</si>
  <si>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</si>
  <si>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</si>
  <si>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</si>
  <si>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</si>
  <si>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  <phoneticPr fontId="3"/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</si>
  <si>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</si>
  <si>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</si>
  <si>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</si>
  <si>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</si>
  <si>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</si>
  <si>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</si>
  <si>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</si>
  <si>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</si>
  <si>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</si>
  <si>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</si>
  <si>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</si>
  <si>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</si>
  <si>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</si>
  <si>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</si>
  <si>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</si>
  <si>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</si>
  <si>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</si>
  <si>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</si>
  <si>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</si>
  <si>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</si>
  <si>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</si>
  <si>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</si>
  <si>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</si>
  <si>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</si>
  <si>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</si>
  <si>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</si>
  <si>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</si>
  <si>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</si>
  <si>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</si>
  <si>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</si>
  <si>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  <phoneticPr fontId="3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</si>
  <si>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</si>
  <si>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</si>
  <si>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</si>
  <si>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</si>
  <si>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</si>
  <si>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</si>
  <si>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</si>
  <si>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</si>
  <si>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</si>
  <si>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</si>
  <si>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</si>
  <si>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</si>
  <si>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</si>
  <si>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</si>
  <si>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  <phoneticPr fontId="3"/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</si>
  <si>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</si>
  <si>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</si>
  <si>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</si>
  <si>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</si>
  <si>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</si>
  <si>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</si>
  <si>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</si>
  <si>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</si>
  <si>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</si>
  <si>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</si>
  <si>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</si>
  <si>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</si>
  <si>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</si>
  <si>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</si>
  <si>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</si>
  <si>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</si>
  <si>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</si>
  <si>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</si>
  <si>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</si>
  <si>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  <phoneticPr fontId="3"/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</si>
  <si>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</si>
  <si>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</si>
  <si>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</si>
  <si>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</si>
  <si>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</si>
  <si>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</si>
  <si>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</si>
  <si>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</si>
  <si>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</si>
  <si>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</si>
  <si>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</si>
  <si>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</si>
  <si>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</si>
  <si>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</si>
  <si>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</si>
  <si>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</si>
  <si>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  <phoneticPr fontId="3"/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</si>
  <si>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</si>
  <si>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</si>
  <si>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</si>
  <si>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</si>
  <si>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</si>
  <si>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</si>
  <si>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</si>
  <si>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</si>
  <si>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</si>
  <si>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</si>
  <si>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</si>
  <si>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</si>
  <si>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</si>
  <si>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</si>
  <si>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</si>
  <si>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</si>
  <si>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</si>
  <si>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</si>
  <si>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</si>
  <si>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</si>
  <si>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</si>
  <si>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</si>
  <si>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</si>
  <si>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</si>
  <si>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</si>
  <si>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</si>
  <si>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  <phoneticPr fontId="3"/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</si>
  <si>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</si>
  <si>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</si>
  <si>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</si>
  <si>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</si>
  <si>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</si>
  <si>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</si>
  <si>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</si>
  <si>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</si>
  <si>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</si>
  <si>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</si>
  <si>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</si>
  <si>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</si>
  <si>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</si>
  <si>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</si>
  <si>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</si>
  <si>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</si>
  <si>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</si>
  <si>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</si>
  <si>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</si>
  <si>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</si>
  <si>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</si>
  <si>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</si>
  <si>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</si>
  <si>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</si>
  <si>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</si>
  <si>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</si>
  <si>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</si>
  <si>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</si>
  <si>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</si>
  <si>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</si>
  <si>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</si>
  <si>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</si>
  <si>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</si>
  <si>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</si>
  <si>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</si>
  <si>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</si>
  <si>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</si>
  <si>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</si>
  <si>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</si>
  <si>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</si>
  <si>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</si>
  <si>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</si>
  <si>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</si>
  <si>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</si>
  <si>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</si>
  <si>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</si>
  <si>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</si>
  <si>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</si>
  <si>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</si>
  <si>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</si>
  <si>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</si>
  <si>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</si>
  <si>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</si>
  <si>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</si>
  <si>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</si>
  <si>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</si>
  <si>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</si>
  <si>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</si>
  <si>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</si>
  <si>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</si>
  <si>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</si>
  <si>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</si>
  <si>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</si>
  <si>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</si>
  <si>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</si>
  <si>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</si>
  <si>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</si>
  <si>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</si>
  <si>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</si>
  <si>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</si>
  <si>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</si>
  <si>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</si>
  <si>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</si>
  <si>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</si>
  <si>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  <phoneticPr fontId="3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</si>
  <si>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</si>
  <si>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</si>
  <si>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</si>
  <si>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</si>
  <si>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</si>
  <si>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</si>
  <si>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</si>
  <si>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</si>
  <si>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</si>
  <si>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</si>
  <si>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</si>
  <si>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</si>
  <si>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</si>
  <si>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</si>
  <si>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</si>
  <si>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</si>
  <si>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</si>
  <si>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</si>
  <si>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</si>
  <si>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</si>
  <si>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</si>
  <si>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</si>
  <si>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</si>
  <si>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</si>
  <si>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</si>
  <si>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</si>
  <si>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</si>
  <si>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</si>
  <si>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</si>
  <si>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</si>
  <si>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</si>
  <si>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</si>
  <si>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</si>
  <si>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</si>
  <si>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</si>
  <si>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</si>
  <si>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</si>
  <si>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</si>
  <si>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</si>
  <si>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</si>
  <si>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</si>
  <si>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  <phoneticPr fontId="3"/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</si>
  <si>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</si>
  <si>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</si>
  <si>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</si>
  <si>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</si>
  <si>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</si>
  <si>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</si>
  <si>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</si>
  <si>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</si>
  <si>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</si>
  <si>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</si>
  <si>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</si>
  <si>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</si>
  <si>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</si>
  <si>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</si>
  <si>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</si>
  <si>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</si>
  <si>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</si>
  <si>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</si>
  <si>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</si>
  <si>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</si>
  <si>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</si>
  <si>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</si>
  <si>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</si>
  <si>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</si>
  <si>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</si>
  <si>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</si>
  <si>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</si>
  <si>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</si>
  <si>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</si>
  <si>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</si>
  <si>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</si>
  <si>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</si>
  <si>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</si>
  <si>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  <phoneticPr fontId="3"/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</si>
  <si>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</si>
  <si>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</si>
  <si>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</si>
  <si>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</si>
  <si>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</si>
  <si>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</si>
  <si>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</si>
  <si>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</si>
  <si>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</si>
  <si>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</si>
  <si>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</si>
  <si>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</si>
  <si>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</si>
  <si>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</si>
  <si>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</si>
  <si>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</si>
  <si>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</si>
  <si>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</si>
  <si>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</si>
  <si>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</si>
  <si>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</si>
  <si>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</si>
  <si>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</si>
  <si>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</si>
  <si>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</si>
  <si>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</si>
  <si>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</si>
  <si>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</si>
  <si>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</si>
  <si>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</si>
  <si>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</si>
  <si>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</si>
  <si>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</si>
  <si>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</si>
  <si>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</si>
  <si>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</si>
  <si>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</si>
  <si>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</si>
  <si>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</si>
  <si>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</si>
  <si>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</si>
  <si>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</si>
  <si>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</si>
  <si>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</si>
  <si>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</si>
  <si>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</si>
  <si>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</si>
  <si>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</si>
  <si>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</si>
  <si>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</si>
  <si>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</si>
  <si>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</si>
  <si>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</si>
  <si>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  <phoneticPr fontId="3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</si>
  <si>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</si>
  <si>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</si>
  <si>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</si>
  <si>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</si>
  <si>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</si>
  <si>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</si>
  <si>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</si>
  <si>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</si>
  <si>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</si>
  <si>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</si>
  <si>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</si>
  <si>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</si>
  <si>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</si>
  <si>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</si>
  <si>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</si>
  <si>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</si>
  <si>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</si>
  <si>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</si>
  <si>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</si>
  <si>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</si>
  <si>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</si>
  <si>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</si>
  <si>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</si>
  <si>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</si>
  <si>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</si>
  <si>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</si>
  <si>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</si>
  <si>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  <phoneticPr fontId="3"/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</si>
  <si>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</si>
  <si>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</si>
  <si>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</si>
  <si>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</si>
  <si>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</si>
  <si>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</si>
  <si>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</si>
  <si>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</si>
  <si>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</si>
  <si>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</si>
  <si>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</si>
  <si>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</si>
  <si>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</si>
  <si>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</si>
  <si>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</si>
  <si>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</si>
  <si>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</si>
  <si>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</si>
  <si>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</si>
  <si>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  <phoneticPr fontId="3"/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</si>
  <si>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</si>
  <si>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</si>
  <si>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</si>
  <si>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</si>
  <si>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</si>
  <si>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</si>
  <si>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</si>
  <si>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</si>
  <si>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</si>
  <si>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</si>
  <si>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</si>
  <si>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</si>
  <si>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</si>
  <si>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</si>
  <si>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</si>
  <si>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</si>
  <si>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</si>
  <si>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</si>
  <si>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</si>
  <si>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</si>
  <si>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</si>
  <si>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</si>
  <si>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</si>
  <si>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</si>
  <si>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</si>
  <si>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</si>
  <si>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  <phoneticPr fontId="3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</si>
  <si>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</si>
  <si>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</si>
  <si>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</si>
  <si>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</si>
  <si>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</si>
  <si>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</si>
  <si>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</si>
  <si>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</si>
  <si>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</si>
  <si>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</si>
  <si>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</si>
  <si>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</si>
  <si>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</si>
  <si>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</si>
  <si>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</si>
  <si>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</si>
  <si>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</si>
  <si>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</si>
  <si>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</si>
  <si>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</si>
  <si>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</si>
  <si>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</si>
  <si>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</si>
  <si>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</si>
  <si>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</si>
  <si>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</si>
  <si>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</si>
  <si>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</si>
  <si>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</si>
  <si>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</si>
  <si>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</si>
  <si>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</si>
  <si>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</si>
  <si>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</si>
  <si>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</si>
  <si>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</si>
  <si>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</si>
  <si>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</si>
  <si>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</si>
  <si>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</si>
  <si>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</si>
  <si>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</si>
  <si>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</si>
  <si>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  <phoneticPr fontId="3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</si>
  <si>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</si>
  <si>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</si>
  <si>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</si>
  <si>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</si>
  <si>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</si>
  <si>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</si>
  <si>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</si>
  <si>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</si>
  <si>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</si>
  <si>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</si>
  <si>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</si>
  <si>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</si>
  <si>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</si>
  <si>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</si>
  <si>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</si>
  <si>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</si>
  <si>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</si>
  <si>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</si>
  <si>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</si>
  <si>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</si>
  <si>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  <rPh sb="0" eb="2">
      <t>タンバ</t>
    </rPh>
    <rPh sb="2" eb="5">
      <t>ササヤマシ</t>
    </rPh>
    <phoneticPr fontId="3"/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</si>
  <si>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</si>
  <si>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</si>
  <si>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</si>
  <si>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</si>
  <si>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</si>
  <si>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</si>
  <si>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</si>
  <si>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</si>
  <si>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</si>
  <si>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</si>
  <si>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</si>
  <si>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</si>
  <si>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</si>
  <si>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</si>
  <si>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</si>
  <si>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</si>
  <si>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</si>
  <si>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</si>
  <si>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</si>
  <si>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  <phoneticPr fontId="3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</si>
  <si>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</si>
  <si>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</si>
  <si>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</si>
  <si>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</si>
  <si>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</si>
  <si>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</si>
  <si>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</si>
  <si>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</si>
  <si>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</si>
  <si>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</si>
  <si>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</si>
  <si>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</si>
  <si>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</si>
  <si>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</si>
  <si>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</si>
  <si>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</si>
  <si>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</si>
  <si>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</si>
  <si>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</si>
  <si>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</si>
  <si>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</si>
  <si>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</si>
  <si>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</si>
  <si>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</si>
  <si>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</si>
  <si>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</si>
  <si>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</si>
  <si>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</si>
  <si>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</si>
  <si>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</si>
  <si>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</si>
  <si>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</si>
  <si>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</si>
  <si>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</si>
  <si>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</si>
  <si>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</si>
  <si>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</si>
  <si>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  <phoneticPr fontId="3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</si>
  <si>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</si>
  <si>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</si>
  <si>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</si>
  <si>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</si>
  <si>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</si>
  <si>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</si>
  <si>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</si>
  <si>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</si>
  <si>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</si>
  <si>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</si>
  <si>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</si>
  <si>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</si>
  <si>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</si>
  <si>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</si>
  <si>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</si>
  <si>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</si>
  <si>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</si>
  <si>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</si>
  <si>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</si>
  <si>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</si>
  <si>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</si>
  <si>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</si>
  <si>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</si>
  <si>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</si>
  <si>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</si>
  <si>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</si>
  <si>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</si>
  <si>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</si>
  <si>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  <phoneticPr fontId="3"/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</si>
  <si>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</si>
  <si>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</si>
  <si>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</si>
  <si>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</si>
  <si>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</si>
  <si>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</si>
  <si>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</si>
  <si>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</si>
  <si>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</si>
  <si>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</si>
  <si>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</si>
  <si>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</si>
  <si>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</si>
  <si>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</si>
  <si>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</si>
  <si>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</si>
  <si>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</si>
  <si>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  <phoneticPr fontId="3"/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</si>
  <si>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</si>
  <si>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</si>
  <si>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</si>
  <si>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</si>
  <si>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</si>
  <si>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</si>
  <si>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</si>
  <si>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</si>
  <si>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</si>
  <si>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</si>
  <si>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</si>
  <si>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</si>
  <si>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</si>
  <si>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</si>
  <si>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</si>
  <si>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</si>
  <si>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</si>
  <si>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</si>
  <si>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  <phoneticPr fontId="3"/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</si>
  <si>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</si>
  <si>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</si>
  <si>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</si>
  <si>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</si>
  <si>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</si>
  <si>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</si>
  <si>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</si>
  <si>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</si>
  <si>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</si>
  <si>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</si>
  <si>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</si>
  <si>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</si>
  <si>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</si>
  <si>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</si>
  <si>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</si>
  <si>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</si>
  <si>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</si>
  <si>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</si>
  <si>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</si>
  <si>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</si>
  <si>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</si>
  <si>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</si>
  <si>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</si>
  <si>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</si>
  <si>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</si>
  <si>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</si>
  <si>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</si>
  <si>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  <phoneticPr fontId="3"/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</si>
  <si>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</si>
  <si>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</si>
  <si>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</si>
  <si>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</si>
  <si>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</si>
  <si>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</si>
  <si>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</si>
  <si>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</si>
  <si>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</si>
  <si>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</si>
  <si>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</si>
  <si>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</si>
  <si>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</si>
  <si>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</si>
  <si>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</si>
  <si>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</si>
  <si>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</si>
  <si>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</si>
  <si>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</si>
  <si>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</si>
  <si>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</si>
  <si>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</si>
  <si>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  <phoneticPr fontId="3"/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</si>
  <si>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</si>
  <si>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</si>
  <si>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</si>
  <si>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</si>
  <si>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</si>
  <si>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</si>
  <si>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</si>
  <si>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</si>
  <si>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</si>
  <si>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</si>
  <si>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</si>
  <si>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</si>
  <si>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</si>
  <si>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</si>
  <si>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</si>
  <si>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</si>
  <si>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</si>
  <si>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</si>
  <si>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</si>
  <si>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  <phoneticPr fontId="3"/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</si>
  <si>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</si>
  <si>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</si>
  <si>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</si>
  <si>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</si>
  <si>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</si>
  <si>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</si>
  <si>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</si>
  <si>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</si>
  <si>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</si>
  <si>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</si>
  <si>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</si>
  <si>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</si>
  <si>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</si>
  <si>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</si>
  <si>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</si>
  <si>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</si>
  <si>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</si>
  <si>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</si>
  <si>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</si>
  <si>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</si>
  <si>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</si>
  <si>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</si>
  <si>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</si>
  <si>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</si>
  <si>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  <phoneticPr fontId="3"/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</si>
  <si>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</si>
  <si>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</si>
  <si>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</si>
  <si>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</si>
  <si>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</si>
  <si>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</si>
  <si>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</si>
  <si>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</si>
  <si>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</si>
  <si>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</si>
  <si>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</si>
  <si>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</si>
  <si>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</si>
  <si>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</si>
  <si>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</si>
  <si>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</si>
  <si>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</si>
  <si>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  <phoneticPr fontId="3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</si>
  <si>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</si>
  <si>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</si>
  <si>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</si>
  <si>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</si>
  <si>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</si>
  <si>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</si>
  <si>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</si>
  <si>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</si>
  <si>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</si>
  <si>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</si>
  <si>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</si>
  <si>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</si>
  <si>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</si>
  <si>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</si>
  <si>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</si>
  <si>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</si>
  <si>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</si>
  <si>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</si>
  <si>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</si>
  <si>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  <phoneticPr fontId="3"/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</si>
  <si>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</si>
  <si>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</si>
  <si>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</si>
  <si>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</si>
  <si>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</si>
  <si>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</si>
  <si>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</si>
  <si>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</si>
  <si>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</si>
  <si>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</si>
  <si>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</si>
  <si>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</si>
  <si>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</si>
  <si>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</si>
  <si>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</si>
  <si>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</si>
  <si>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</si>
  <si>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</si>
  <si>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</si>
  <si>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</si>
  <si>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</si>
  <si>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</si>
  <si>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</si>
  <si>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</si>
  <si>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</si>
  <si>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</si>
  <si>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</si>
  <si>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</si>
  <si>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</si>
  <si>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</si>
  <si>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</si>
  <si>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</si>
  <si>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</si>
  <si>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</si>
  <si>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  <phoneticPr fontId="3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</si>
  <si>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</si>
  <si>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</si>
  <si>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</si>
  <si>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</si>
  <si>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</si>
  <si>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</si>
  <si>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</si>
  <si>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</si>
  <si>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</si>
  <si>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</si>
  <si>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</si>
  <si>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</si>
  <si>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</si>
  <si>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</si>
  <si>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</si>
  <si>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</si>
  <si>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</si>
  <si>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</si>
  <si>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</si>
  <si>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</si>
  <si>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</si>
  <si>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</si>
  <si>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</si>
  <si>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</si>
  <si>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</si>
  <si>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</si>
  <si>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</si>
  <si>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</si>
  <si>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  <rPh sb="0" eb="3">
      <t>ナカガワ</t>
    </rPh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</si>
  <si>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</si>
  <si>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</si>
  <si>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</si>
  <si>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</si>
  <si>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</si>
  <si>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</si>
  <si>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</si>
  <si>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</si>
  <si>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</si>
  <si>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</si>
  <si>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</si>
  <si>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</si>
  <si>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</si>
  <si>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</si>
  <si>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</si>
  <si>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</si>
  <si>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</si>
  <si>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</si>
  <si>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</si>
  <si>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</si>
  <si>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</si>
  <si>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</si>
  <si>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</si>
  <si>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</si>
  <si>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</si>
  <si>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</si>
  <si>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</si>
  <si>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</si>
  <si>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</si>
  <si>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  <phoneticPr fontId="3"/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</si>
  <si>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</si>
  <si>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</si>
  <si>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</si>
  <si>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</si>
  <si>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</si>
  <si>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</si>
  <si>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</si>
  <si>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</si>
  <si>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</si>
  <si>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</si>
  <si>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</si>
  <si>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</si>
  <si>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</si>
  <si>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</si>
  <si>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</si>
  <si>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</si>
  <si>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</si>
  <si>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</si>
  <si>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</si>
  <si>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</si>
  <si>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  <phoneticPr fontId="3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</si>
  <si>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</si>
  <si>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</si>
  <si>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</si>
  <si>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</si>
  <si>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</si>
  <si>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</si>
  <si>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</si>
  <si>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</si>
  <si>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</si>
  <si>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</si>
  <si>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</si>
  <si>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</si>
  <si>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</si>
  <si>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</si>
  <si>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</si>
  <si>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</si>
  <si>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</si>
  <si>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</si>
  <si>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</si>
  <si>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</si>
  <si>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</si>
  <si>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  <phoneticPr fontId="3"/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</si>
  <si>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</si>
  <si>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</si>
  <si>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</si>
  <si>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</si>
  <si>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</si>
  <si>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</si>
  <si>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</si>
  <si>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</si>
  <si>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</si>
  <si>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</si>
  <si>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</si>
  <si>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</si>
  <si>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</si>
  <si>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</si>
  <si>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</si>
  <si>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</si>
  <si>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</si>
  <si>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</si>
  <si>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</si>
  <si>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</si>
  <si>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</si>
  <si>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</si>
  <si>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</si>
  <si>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</si>
  <si>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</si>
  <si>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</si>
  <si>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</si>
  <si>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</si>
  <si>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</si>
  <si>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</si>
  <si>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</si>
  <si>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</si>
  <si>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</si>
  <si>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</si>
  <si>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</si>
  <si>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</si>
  <si>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</si>
  <si>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</si>
  <si>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</si>
  <si>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</si>
  <si>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</si>
  <si>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</si>
  <si>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  <phoneticPr fontId="3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</si>
  <si>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</si>
  <si>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</si>
  <si>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</si>
  <si>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</si>
  <si>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</si>
  <si>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</si>
  <si>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</si>
  <si>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</si>
  <si>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</si>
  <si>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</si>
  <si>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</si>
  <si>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</si>
  <si>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</si>
  <si>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</si>
  <si>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</si>
  <si>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</si>
  <si>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</si>
  <si>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</si>
  <si>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  <phoneticPr fontId="3"/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</si>
  <si>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</si>
  <si>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</si>
  <si>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</si>
  <si>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</si>
  <si>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</si>
  <si>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</si>
  <si>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</si>
  <si>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</si>
  <si>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</si>
  <si>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</si>
  <si>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</si>
  <si>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</si>
  <si>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</si>
  <si>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</si>
  <si>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</si>
  <si>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</si>
  <si>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</si>
  <si>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</si>
  <si>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</si>
  <si>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</si>
  <si>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</si>
  <si>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</si>
  <si>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</si>
  <si>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</si>
  <si>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</si>
  <si>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  <phoneticPr fontId="3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</si>
  <si>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</si>
  <si>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</si>
  <si>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</si>
  <si>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</si>
  <si>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</si>
  <si>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</si>
  <si>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</si>
  <si>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</si>
  <si>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</si>
  <si>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</si>
  <si>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</si>
  <si>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</si>
  <si>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</si>
  <si>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</si>
  <si>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</si>
  <si>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</si>
  <si>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</si>
  <si>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</si>
  <si>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</si>
  <si>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</si>
  <si>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</si>
  <si>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</si>
  <si>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</si>
  <si>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</si>
  <si>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</si>
  <si>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</si>
  <si>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</si>
  <si>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</si>
  <si>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</si>
  <si>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</si>
  <si>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</si>
  <si>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</si>
  <si>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</si>
  <si>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</si>
  <si>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</si>
  <si>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</si>
  <si>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</si>
  <si>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</si>
  <si>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</si>
  <si>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</si>
  <si>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</si>
  <si>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</si>
  <si>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</si>
  <si>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  <phoneticPr fontId="3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</si>
  <si>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</si>
  <si>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</si>
  <si>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</si>
  <si>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</si>
  <si>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</si>
  <si>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</si>
  <si>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</si>
  <si>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</si>
  <si>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</si>
  <si>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</si>
  <si>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</si>
  <si>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</si>
  <si>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</si>
  <si>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</si>
  <si>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</si>
  <si>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</si>
  <si>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</si>
  <si>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</si>
  <si>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</si>
  <si>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</si>
  <si>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</si>
  <si>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</si>
  <si>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</si>
  <si>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</si>
  <si>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</si>
  <si>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</si>
  <si>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</si>
  <si>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</si>
  <si>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</si>
  <si>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</si>
  <si>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</si>
  <si>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</si>
  <si>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</si>
  <si>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</si>
  <si>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</si>
  <si>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</si>
  <si>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</si>
  <si>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</si>
  <si>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</si>
  <si>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</si>
  <si>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</si>
  <si>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学部・学科
課程・コース名</t>
    <rPh sb="0" eb="2">
      <t>ガクブ</t>
    </rPh>
    <rPh sb="3" eb="5">
      <t>ガッカ</t>
    </rPh>
    <rPh sb="6" eb="8">
      <t>カテイ</t>
    </rPh>
    <rPh sb="12" eb="13">
      <t>メイ</t>
    </rPh>
    <phoneticPr fontId="1"/>
  </si>
  <si>
    <t>■申請者に関する事項</t>
    <rPh sb="1" eb="4">
      <t>シンセイシャ</t>
    </rPh>
    <rPh sb="5" eb="6">
      <t>カン</t>
    </rPh>
    <rPh sb="8" eb="10">
      <t>ジコウ</t>
    </rPh>
    <phoneticPr fontId="1"/>
  </si>
  <si>
    <t>氏名</t>
    <rPh sb="0" eb="2">
      <t>シメイ</t>
    </rPh>
    <phoneticPr fontId="1"/>
  </si>
  <si>
    <t>×</t>
  </si>
  <si>
    <t>住所</t>
    <rPh sb="0" eb="2">
      <t>ジュウショ</t>
    </rPh>
    <phoneticPr fontId="1"/>
  </si>
  <si>
    <t>【借り入れ可能期間】</t>
    <rPh sb="1" eb="2">
      <t>カ</t>
    </rPh>
    <rPh sb="3" eb="4">
      <t>イ</t>
    </rPh>
    <rPh sb="5" eb="7">
      <t>カノウ</t>
    </rPh>
    <rPh sb="7" eb="9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</si>
  <si>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</si>
  <si>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</si>
  <si>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未記入時の開始</t>
    <rPh sb="0" eb="3">
      <t>ミキニュウ</t>
    </rPh>
    <rPh sb="3" eb="4">
      <t>ジ</t>
    </rPh>
    <rPh sb="5" eb="7">
      <t>カイシ</t>
    </rPh>
    <phoneticPr fontId="1"/>
  </si>
  <si>
    <t>年度</t>
    <rPh sb="0" eb="2">
      <t>ネンド</t>
    </rPh>
    <phoneticPr fontId="1"/>
  </si>
  <si>
    <t>未記入時の修了</t>
    <rPh sb="0" eb="3">
      <t>ミキニュウ</t>
    </rPh>
    <rPh sb="3" eb="4">
      <t>ジ</t>
    </rPh>
    <rPh sb="5" eb="7">
      <t>シュウリョウ</t>
    </rPh>
    <phoneticPr fontId="1"/>
  </si>
  <si>
    <t>終了（日付フル）</t>
    <rPh sb="0" eb="2">
      <t>シュウリョウ</t>
    </rPh>
    <rPh sb="3" eb="5">
      <t>ヒヅケ</t>
    </rPh>
    <phoneticPr fontId="1"/>
  </si>
  <si>
    <t>終了（日付分割）</t>
    <rPh sb="0" eb="2">
      <t>シュウリョウ</t>
    </rPh>
    <rPh sb="3" eb="5">
      <t>ヒヅケ</t>
    </rPh>
    <rPh sb="5" eb="7">
      <t>ブンカツ</t>
    </rPh>
    <phoneticPr fontId="1"/>
  </si>
  <si>
    <t>年直し</t>
    <rPh sb="0" eb="1">
      <t>ネン</t>
    </rPh>
    <rPh sb="1" eb="2">
      <t>ナオ</t>
    </rPh>
    <phoneticPr fontId="1"/>
  </si>
  <si>
    <t>月直し</t>
    <rPh sb="0" eb="2">
      <t>ツキナオ</t>
    </rPh>
    <phoneticPr fontId="1"/>
  </si>
  <si>
    <t>（あなたの申請可能期間）</t>
    <rPh sb="5" eb="7">
      <t>シンセイ</t>
    </rPh>
    <rPh sb="7" eb="9">
      <t>カノウ</t>
    </rPh>
    <rPh sb="9" eb="11">
      <t>キカン</t>
    </rPh>
    <phoneticPr fontId="1"/>
  </si>
  <si>
    <t>数値に変換</t>
    <rPh sb="0" eb="2">
      <t>スウチ</t>
    </rPh>
    <rPh sb="3" eb="5">
      <t>ヘンカン</t>
    </rPh>
    <phoneticPr fontId="1"/>
  </si>
  <si>
    <t>　　</t>
    <phoneticPr fontId="1"/>
  </si>
  <si>
    <t>④生活費加算</t>
    <rPh sb="1" eb="6">
      <t>セイカツヒカサン</t>
    </rPh>
    <phoneticPr fontId="1"/>
  </si>
  <si>
    <t>【生活費加算】</t>
    <rPh sb="1" eb="6">
      <t>セイカツヒカサン</t>
    </rPh>
    <phoneticPr fontId="1"/>
  </si>
  <si>
    <t>私は、生活費加算を受ける場合の要件を満たし、貸付を希望します。（該当者のみチェックしてください）</t>
    <rPh sb="22" eb="24">
      <t>カシツケ</t>
    </rPh>
    <rPh sb="32" eb="35">
      <t>ガイトウシャ</t>
    </rPh>
    <phoneticPr fontId="1"/>
  </si>
  <si>
    <t>【借入希望月数】</t>
    <rPh sb="1" eb="5">
      <t>カリイレキボウ</t>
    </rPh>
    <rPh sb="5" eb="7">
      <t>ツキスウ</t>
    </rPh>
    <phoneticPr fontId="1"/>
  </si>
  <si>
    <t>希望月数</t>
    <rPh sb="0" eb="4">
      <t>キボウツキスウ</t>
    </rPh>
    <phoneticPr fontId="1"/>
  </si>
  <si>
    <t>回数小数点以下チェック</t>
    <rPh sb="0" eb="2">
      <t>カイスウ</t>
    </rPh>
    <rPh sb="2" eb="5">
      <t>ショウスウテン</t>
    </rPh>
    <rPh sb="5" eb="7">
      <t>イカ</t>
    </rPh>
    <phoneticPr fontId="1"/>
  </si>
  <si>
    <t>生活費加算</t>
    <rPh sb="0" eb="5">
      <t>セイカツヒカサン</t>
    </rPh>
    <phoneticPr fontId="1"/>
  </si>
  <si>
    <t xml:space="preserve">  ※月額は埼玉県社協に
　  お問い合わせください。</t>
    <rPh sb="3" eb="5">
      <t>ゲツガク</t>
    </rPh>
    <rPh sb="6" eb="11">
      <t>サイタマケンシャキョウ</t>
    </rPh>
    <rPh sb="17" eb="18">
      <t>ト</t>
    </rPh>
    <rPh sb="19" eb="20">
      <t>ア</t>
    </rPh>
    <phoneticPr fontId="1"/>
  </si>
  <si>
    <t>【修業年限誤りチェック】</t>
    <rPh sb="1" eb="5">
      <t>シュウギョウネンゲン</t>
    </rPh>
    <rPh sb="5" eb="6">
      <t>アヤマ</t>
    </rPh>
    <phoneticPr fontId="1"/>
  </si>
  <si>
    <t>日付</t>
    <rPh sb="0" eb="2">
      <t>ヒヅケ</t>
    </rPh>
    <phoneticPr fontId="1"/>
  </si>
  <si>
    <t>日付or文字列</t>
    <rPh sb="0" eb="2">
      <t>ヒヅケ</t>
    </rPh>
    <rPh sb="4" eb="7">
      <t>モジレツ</t>
    </rPh>
    <phoneticPr fontId="1"/>
  </si>
  <si>
    <t>本来の入学年
（4月入学）</t>
    <rPh sb="0" eb="2">
      <t>ホンライ</t>
    </rPh>
    <rPh sb="3" eb="6">
      <t>ニュウガクネン</t>
    </rPh>
    <rPh sb="9" eb="10">
      <t>ガツ</t>
    </rPh>
    <rPh sb="10" eb="12">
      <t>ニュウガク</t>
    </rPh>
    <phoneticPr fontId="1"/>
  </si>
  <si>
    <t>本来の入学年
（10月入学）</t>
    <rPh sb="0" eb="2">
      <t>ホンライ</t>
    </rPh>
    <rPh sb="3" eb="6">
      <t>ニュウガクネン</t>
    </rPh>
    <rPh sb="10" eb="11">
      <t>ガツ</t>
    </rPh>
    <rPh sb="11" eb="13">
      <t>ニュウガク</t>
    </rPh>
    <phoneticPr fontId="1"/>
  </si>
  <si>
    <t>←該当者チェックボックス</t>
    <rPh sb="1" eb="4">
      <t>ガイトウシャ</t>
    </rPh>
    <phoneticPr fontId="1"/>
  </si>
  <si>
    <t>←金額範囲内チェック</t>
    <rPh sb="1" eb="3">
      <t>キンガク</t>
    </rPh>
    <rPh sb="3" eb="6">
      <t>ハンイナイ</t>
    </rPh>
    <phoneticPr fontId="1"/>
  </si>
  <si>
    <t>←上限額入力済みチェック</t>
    <rPh sb="1" eb="4">
      <t>ジョウゲンガク</t>
    </rPh>
    <rPh sb="4" eb="7">
      <t>ニュウリョクズ</t>
    </rPh>
    <phoneticPr fontId="1"/>
  </si>
  <si>
    <t>FALSEカウント</t>
    <phoneticPr fontId="1"/>
  </si>
  <si>
    <t>4月</t>
    <rPh sb="1" eb="2">
      <t>ガツ</t>
    </rPh>
    <phoneticPr fontId="1"/>
  </si>
  <si>
    <t>10月</t>
    <rPh sb="2" eb="3">
      <t>ガツ</t>
    </rPh>
    <phoneticPr fontId="1"/>
  </si>
  <si>
    <t>【入学年度選択肢】</t>
    <rPh sb="1" eb="5">
      <t>ニュウガクネンド</t>
    </rPh>
    <rPh sb="5" eb="8">
      <t>センタクシ</t>
    </rPh>
    <phoneticPr fontId="1"/>
  </si>
  <si>
    <t>【借入年数選択肢】</t>
    <rPh sb="1" eb="5">
      <t>カリイレネンスウ</t>
    </rPh>
    <rPh sb="5" eb="8">
      <t>センタクシ</t>
    </rPh>
    <phoneticPr fontId="1"/>
  </si>
  <si>
    <t>総務省「都道府県コード及び市区町村コード（令和6年1月１日更新）」（https://www.soumu.go.jp/denshijiti/code.html）</t>
    <rPh sb="0" eb="3">
      <t>ソウムショウ</t>
    </rPh>
    <rPh sb="21" eb="23">
      <t>レイワ</t>
    </rPh>
    <rPh sb="24" eb="25">
      <t>ネン</t>
    </rPh>
    <rPh sb="26" eb="27">
      <t>ガツ</t>
    </rPh>
    <rPh sb="28" eb="29">
      <t>ニチ</t>
    </rPh>
    <phoneticPr fontId="1"/>
  </si>
  <si>
    <t>Ⅳ</t>
    <phoneticPr fontId="1"/>
  </si>
  <si>
    <t>☑ 特待生制度等により、入学金は0円で間違いありません。</t>
    <rPh sb="2" eb="8">
      <t>トクタイセイセイドトウ</t>
    </rPh>
    <rPh sb="12" eb="15">
      <t>ニュウガクキン</t>
    </rPh>
    <rPh sb="17" eb="18">
      <t>エン</t>
    </rPh>
    <rPh sb="19" eb="21">
      <t>マチガ</t>
    </rPh>
    <phoneticPr fontId="1"/>
  </si>
  <si>
    <r>
      <rPr>
        <sz val="11"/>
        <color theme="1"/>
        <rFont val="游ゴシック"/>
        <family val="2"/>
        <charset val="128"/>
      </rPr>
      <t>←</t>
    </r>
    <r>
      <rPr>
        <sz val="11"/>
        <color theme="1"/>
        <rFont val="Calibri"/>
        <family val="2"/>
      </rPr>
      <t>2024</t>
    </r>
    <r>
      <rPr>
        <sz val="11"/>
        <color theme="1"/>
        <rFont val="游ゴシック"/>
        <family val="2"/>
        <charset val="128"/>
        <scheme val="minor"/>
      </rPr>
      <t>年</t>
    </r>
    <r>
      <rPr>
        <sz val="11"/>
        <color theme="1"/>
        <rFont val="Calibri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月追加（1/4）、2025年4月（全額）</t>
    </r>
    <rPh sb="5" eb="6">
      <t>ネン</t>
    </rPh>
    <rPh sb="7" eb="8">
      <t>ガツ</t>
    </rPh>
    <rPh sb="8" eb="10">
      <t>ツイカ</t>
    </rPh>
    <rPh sb="20" eb="21">
      <t>ネン</t>
    </rPh>
    <rPh sb="22" eb="23">
      <t>ガツ</t>
    </rPh>
    <rPh sb="23" eb="27">
      <t>｢ゼンガク｣</t>
    </rPh>
    <phoneticPr fontId="1"/>
  </si>
  <si>
    <t>（全額）</t>
    <rPh sb="0" eb="4">
      <t>｢ゼンガク｣</t>
    </rPh>
    <phoneticPr fontId="1"/>
  </si>
  <si>
    <t>（2/3）</t>
    <phoneticPr fontId="1"/>
  </si>
  <si>
    <t>（1/3）</t>
    <phoneticPr fontId="1"/>
  </si>
  <si>
    <t>※市町村左のアドレスから引用</t>
    <rPh sb="1" eb="4">
      <t>シチョウソン</t>
    </rPh>
    <rPh sb="4" eb="5">
      <t>ヒダリ</t>
    </rPh>
    <rPh sb="12" eb="14">
      <t>インヨウ</t>
    </rPh>
    <phoneticPr fontId="1"/>
  </si>
  <si>
    <t>支援金額（減免率）</t>
    <rPh sb="0" eb="4">
      <t>シエンキンガク</t>
    </rPh>
    <rPh sb="5" eb="8">
      <t>ゲンメンリツ</t>
    </rPh>
    <phoneticPr fontId="1"/>
  </si>
  <si>
    <t>埼玉県保育士修学資金　シミュレーションシート（令和8年度4月募集用）</t>
    <rPh sb="0" eb="3">
      <t>サイタマケン</t>
    </rPh>
    <rPh sb="3" eb="6">
      <t>ホイクシ</t>
    </rPh>
    <rPh sb="6" eb="8">
      <t>シュウガク</t>
    </rPh>
    <rPh sb="8" eb="10">
      <t>シキン</t>
    </rPh>
    <rPh sb="23" eb="25">
      <t>レイワ</t>
    </rPh>
    <rPh sb="26" eb="28">
      <t>ネンド</t>
    </rPh>
    <rPh sb="29" eb="30">
      <t>ガツ</t>
    </rPh>
    <rPh sb="30" eb="32">
      <t>ボシュウ</t>
    </rPh>
    <rPh sb="32" eb="33">
      <t>ヨウ</t>
    </rPh>
    <phoneticPr fontId="1"/>
  </si>
  <si>
    <t>青森県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</si>
</sst>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yyyy&quot;年&quot;m&quot;月&quot;;@"/>
    <numFmt numFmtId="178" formatCode="#,##0_ "/>
    <numFmt numFmtId="179" formatCode="#,##0_);[Red]\(#,##0\)"/>
    <numFmt numFmtId="180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b/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</font>
    <font>
      <sz val="11"/>
      <color theme="1"/>
      <name val="游ゴシック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2"/>
      <color theme="0" tint="-0.34998626667073579"/>
      <name val="游ゴシック"/>
      <family val="3"/>
      <charset val="128"/>
      <scheme val="minor"/>
    </font>
    <font>
      <sz val="16"/>
      <color theme="0" tint="-0.34998626667073579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theme="1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178" fontId="0" fillId="0" borderId="21" xfId="0" applyNumberFormat="1" applyBorder="1">
      <alignment vertical="center"/>
    </xf>
    <xf numFmtId="178" fontId="0" fillId="0" borderId="22" xfId="0" applyNumberFormat="1" applyBorder="1">
      <alignment vertical="center"/>
    </xf>
    <xf numFmtId="0" fontId="0" fillId="0" borderId="11" xfId="0" applyBorder="1" applyAlignment="1">
      <alignment horizontal="center" vertical="center" shrinkToFit="1"/>
    </xf>
    <xf numFmtId="178" fontId="0" fillId="0" borderId="11" xfId="0" applyNumberFormat="1" applyBorder="1">
      <alignment vertical="center"/>
    </xf>
    <xf numFmtId="14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78" fontId="0" fillId="2" borderId="1" xfId="0" applyNumberFormat="1" applyFill="1" applyBorder="1">
      <alignment vertical="center"/>
    </xf>
    <xf numFmtId="178" fontId="0" fillId="3" borderId="1" xfId="0" applyNumberFormat="1" applyFill="1" applyBorder="1">
      <alignment vertical="center"/>
    </xf>
    <xf numFmtId="0" fontId="0" fillId="3" borderId="5" xfId="0" applyFill="1" applyBorder="1" applyAlignment="1">
      <alignment horizontal="center" vertical="center" shrinkToFit="1"/>
    </xf>
    <xf numFmtId="178" fontId="0" fillId="3" borderId="5" xfId="0" applyNumberFormat="1" applyFill="1" applyBorder="1">
      <alignment vertical="center"/>
    </xf>
    <xf numFmtId="0" fontId="0" fillId="0" borderId="26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8" xfId="0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30" xfId="0" applyBorder="1" applyAlignment="1">
      <alignment vertical="center" shrinkToFit="1"/>
    </xf>
    <xf numFmtId="0" fontId="0" fillId="0" borderId="31" xfId="0" applyBorder="1">
      <alignment vertical="center"/>
    </xf>
    <xf numFmtId="0" fontId="0" fillId="0" borderId="32" xfId="0" applyBorder="1" applyAlignment="1">
      <alignment vertical="center" shrinkToFit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4" fontId="0" fillId="0" borderId="2" xfId="0" applyNumberFormat="1" applyBorder="1">
      <alignment vertical="center"/>
    </xf>
    <xf numFmtId="180" fontId="0" fillId="0" borderId="0" xfId="0" applyNumberFormat="1">
      <alignment vertical="center"/>
    </xf>
    <xf numFmtId="55" fontId="2" fillId="4" borderId="1" xfId="0" applyNumberFormat="1" applyFont="1" applyFill="1" applyBorder="1">
      <alignment vertical="center"/>
    </xf>
    <xf numFmtId="55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0" fontId="0" fillId="0" borderId="58" xfId="0" applyBorder="1">
      <alignment vertical="center"/>
    </xf>
    <xf numFmtId="49" fontId="5" fillId="5" borderId="1" xfId="1" applyNumberFormat="1" applyFont="1" applyFill="1" applyBorder="1" applyAlignment="1">
      <alignment vertical="center"/>
    </xf>
    <xf numFmtId="49" fontId="0" fillId="0" borderId="1" xfId="0" applyNumberFormat="1" applyBorder="1">
      <alignment vertical="center"/>
    </xf>
    <xf numFmtId="0" fontId="0" fillId="0" borderId="82" xfId="0" applyBorder="1">
      <alignment vertical="center"/>
    </xf>
    <xf numFmtId="14" fontId="0" fillId="8" borderId="0" xfId="0" applyNumberFormat="1" applyFill="1">
      <alignment vertical="center"/>
    </xf>
    <xf numFmtId="178" fontId="0" fillId="8" borderId="1" xfId="0" applyNumberFormat="1" applyFill="1" applyBorder="1">
      <alignment vertical="center"/>
    </xf>
    <xf numFmtId="0" fontId="0" fillId="8" borderId="0" xfId="0" applyFill="1">
      <alignment vertical="center"/>
    </xf>
    <xf numFmtId="0" fontId="0" fillId="0" borderId="13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58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5" borderId="0" xfId="0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5" borderId="36" xfId="0" applyFont="1" applyFill="1" applyBorder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13" xfId="0" applyFont="1" applyBorder="1">
      <alignment vertical="center"/>
    </xf>
    <xf numFmtId="0" fontId="11" fillId="0" borderId="18" xfId="0" applyFont="1" applyBorder="1">
      <alignment vertical="center"/>
    </xf>
    <xf numFmtId="0" fontId="13" fillId="0" borderId="0" xfId="0" applyFont="1">
      <alignment vertical="center"/>
    </xf>
    <xf numFmtId="0" fontId="12" fillId="4" borderId="6" xfId="0" applyFont="1" applyFill="1" applyBorder="1">
      <alignment vertical="center"/>
    </xf>
    <xf numFmtId="0" fontId="12" fillId="0" borderId="5" xfId="0" applyFont="1" applyBorder="1">
      <alignment vertical="center"/>
    </xf>
    <xf numFmtId="0" fontId="12" fillId="4" borderId="6" xfId="0" applyFont="1" applyFill="1" applyBorder="1" applyAlignment="1">
      <alignment vertical="center" shrinkToFit="1"/>
    </xf>
    <xf numFmtId="0" fontId="12" fillId="4" borderId="14" xfId="0" applyFont="1" applyFill="1" applyBorder="1">
      <alignment vertical="center"/>
    </xf>
    <xf numFmtId="0" fontId="12" fillId="0" borderId="15" xfId="0" applyFont="1" applyBorder="1">
      <alignment vertical="center"/>
    </xf>
    <xf numFmtId="0" fontId="12" fillId="4" borderId="4" xfId="0" applyFont="1" applyFill="1" applyBorder="1">
      <alignment vertical="center"/>
    </xf>
    <xf numFmtId="0" fontId="12" fillId="0" borderId="10" xfId="0" applyFont="1" applyBorder="1">
      <alignment vertical="center"/>
    </xf>
    <xf numFmtId="0" fontId="12" fillId="4" borderId="1" xfId="0" applyFont="1" applyFill="1" applyBorder="1" applyAlignment="1">
      <alignment vertical="center" shrinkToFit="1"/>
    </xf>
    <xf numFmtId="0" fontId="11" fillId="0" borderId="5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176" fontId="11" fillId="0" borderId="5" xfId="0" applyNumberFormat="1" applyFont="1" applyBorder="1">
      <alignment vertical="center"/>
    </xf>
    <xf numFmtId="177" fontId="11" fillId="5" borderId="36" xfId="0" applyNumberFormat="1" applyFont="1" applyFill="1" applyBorder="1" applyAlignment="1" applyProtection="1">
      <alignment horizontal="center" vertical="center"/>
      <protection locked="0"/>
    </xf>
    <xf numFmtId="0" fontId="11" fillId="0" borderId="66" xfId="0" applyFont="1" applyBorder="1" applyAlignment="1">
      <alignment horizontal="center" vertical="center"/>
    </xf>
    <xf numFmtId="0" fontId="11" fillId="6" borderId="42" xfId="0" applyFont="1" applyFill="1" applyBorder="1">
      <alignment vertical="center"/>
    </xf>
    <xf numFmtId="0" fontId="13" fillId="6" borderId="43" xfId="0" applyFont="1" applyFill="1" applyBorder="1" applyAlignment="1">
      <alignment horizontal="left" vertical="center"/>
    </xf>
    <xf numFmtId="0" fontId="13" fillId="6" borderId="44" xfId="0" applyFont="1" applyFill="1" applyBorder="1">
      <alignment vertical="center"/>
    </xf>
    <xf numFmtId="14" fontId="11" fillId="0" borderId="0" xfId="0" applyNumberFormat="1" applyFont="1">
      <alignment vertical="center"/>
    </xf>
    <xf numFmtId="177" fontId="11" fillId="0" borderId="3" xfId="0" applyNumberFormat="1" applyFont="1" applyBorder="1" applyAlignment="1" applyProtection="1">
      <alignment horizontal="center" vertical="center"/>
      <protection locked="0"/>
    </xf>
    <xf numFmtId="177" fontId="11" fillId="0" borderId="3" xfId="0" applyNumberFormat="1" applyFont="1" applyBorder="1" applyAlignment="1">
      <alignment horizontal="center" vertical="center"/>
    </xf>
    <xf numFmtId="0" fontId="11" fillId="4" borderId="40" xfId="0" applyFont="1" applyFill="1" applyBorder="1" applyAlignment="1">
      <alignment vertical="center" wrapText="1"/>
    </xf>
    <xf numFmtId="0" fontId="11" fillId="0" borderId="70" xfId="0" applyFont="1" applyBorder="1">
      <alignment vertical="center"/>
    </xf>
    <xf numFmtId="0" fontId="11" fillId="0" borderId="65" xfId="0" applyFont="1" applyBorder="1" applyAlignment="1">
      <alignment horizontal="center" vertical="center"/>
    </xf>
    <xf numFmtId="0" fontId="11" fillId="0" borderId="59" xfId="0" applyFont="1" applyBorder="1" applyAlignment="1">
      <alignment horizontal="left" vertical="center"/>
    </xf>
    <xf numFmtId="0" fontId="15" fillId="0" borderId="44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 wrapText="1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61" xfId="0" applyFont="1" applyBorder="1" applyAlignment="1">
      <alignment horizontal="center" vertical="center"/>
    </xf>
    <xf numFmtId="0" fontId="11" fillId="0" borderId="43" xfId="0" applyFont="1" applyBorder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1" fillId="4" borderId="2" xfId="0" applyFont="1" applyFill="1" applyBorder="1" applyAlignment="1">
      <alignment wrapText="1"/>
    </xf>
    <xf numFmtId="0" fontId="11" fillId="0" borderId="7" xfId="0" applyFont="1" applyBorder="1" applyAlignment="1" applyProtection="1">
      <alignment horizontal="left" vertical="center"/>
      <protection locked="0"/>
    </xf>
    <xf numFmtId="0" fontId="17" fillId="7" borderId="83" xfId="0" applyFont="1" applyFill="1" applyBorder="1" applyAlignment="1">
      <alignment vertical="center" wrapText="1"/>
    </xf>
    <xf numFmtId="0" fontId="18" fillId="7" borderId="80" xfId="0" applyFont="1" applyFill="1" applyBorder="1">
      <alignment vertical="center"/>
    </xf>
    <xf numFmtId="0" fontId="18" fillId="7" borderId="43" xfId="0" applyFont="1" applyFill="1" applyBorder="1" applyAlignment="1">
      <alignment horizontal="center" vertical="center"/>
    </xf>
    <xf numFmtId="0" fontId="18" fillId="7" borderId="80" xfId="0" applyFont="1" applyFill="1" applyBorder="1" applyAlignment="1">
      <alignment horizontal="left" vertical="center"/>
    </xf>
    <xf numFmtId="0" fontId="18" fillId="7" borderId="43" xfId="0" applyFont="1" applyFill="1" applyBorder="1" applyAlignment="1">
      <alignment horizontal="left" vertical="center"/>
    </xf>
    <xf numFmtId="0" fontId="19" fillId="7" borderId="44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vertical="center" wrapText="1"/>
    </xf>
    <xf numFmtId="0" fontId="18" fillId="7" borderId="41" xfId="0" applyFont="1" applyFill="1" applyBorder="1">
      <alignment vertical="center"/>
    </xf>
    <xf numFmtId="0" fontId="18" fillId="7" borderId="41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left" vertical="center"/>
    </xf>
    <xf numFmtId="0" fontId="18" fillId="7" borderId="60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1" fillId="4" borderId="5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8" fillId="7" borderId="76" xfId="0" applyFont="1" applyFill="1" applyBorder="1" applyAlignment="1">
      <alignment horizontal="right" vertical="center"/>
    </xf>
    <xf numFmtId="0" fontId="18" fillId="7" borderId="77" xfId="0" applyFont="1" applyFill="1" applyBorder="1" applyAlignment="1">
      <alignment horizontal="right" vertical="center"/>
    </xf>
    <xf numFmtId="177" fontId="11" fillId="5" borderId="37" xfId="0" applyNumberFormat="1" applyFont="1" applyFill="1" applyBorder="1" applyAlignment="1" applyProtection="1">
      <alignment horizontal="center" vertical="center"/>
      <protection locked="0"/>
    </xf>
    <xf numFmtId="177" fontId="11" fillId="5" borderId="39" xfId="0" applyNumberFormat="1" applyFont="1" applyFill="1" applyBorder="1" applyAlignment="1" applyProtection="1">
      <alignment horizontal="center" vertical="center"/>
      <protection locked="0"/>
    </xf>
    <xf numFmtId="179" fontId="12" fillId="5" borderId="37" xfId="0" applyNumberFormat="1" applyFont="1" applyFill="1" applyBorder="1" applyAlignment="1" applyProtection="1">
      <alignment horizontal="right" vertical="center"/>
      <protection locked="0"/>
    </xf>
    <xf numFmtId="179" fontId="12" fillId="5" borderId="38" xfId="0" applyNumberFormat="1" applyFont="1" applyFill="1" applyBorder="1" applyAlignment="1" applyProtection="1">
      <alignment horizontal="right" vertical="center"/>
      <protection locked="0"/>
    </xf>
    <xf numFmtId="179" fontId="12" fillId="5" borderId="39" xfId="0" applyNumberFormat="1" applyFont="1" applyFill="1" applyBorder="1" applyAlignment="1" applyProtection="1">
      <alignment horizontal="right" vertical="center"/>
      <protection locked="0"/>
    </xf>
    <xf numFmtId="0" fontId="11" fillId="2" borderId="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74" xfId="0" applyFont="1" applyBorder="1" applyAlignment="1" applyProtection="1">
      <alignment horizontal="center" vertical="center"/>
      <protection locked="0"/>
    </xf>
    <xf numFmtId="0" fontId="11" fillId="0" borderId="75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>
      <alignment horizontal="right" vertical="center"/>
    </xf>
    <xf numFmtId="0" fontId="11" fillId="0" borderId="65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73" xfId="0" applyFont="1" applyBorder="1" applyAlignment="1">
      <alignment horizontal="right" vertical="center"/>
    </xf>
    <xf numFmtId="0" fontId="11" fillId="0" borderId="48" xfId="0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179" fontId="19" fillId="7" borderId="43" xfId="0" applyNumberFormat="1" applyFont="1" applyFill="1" applyBorder="1" applyAlignment="1">
      <alignment horizontal="right" vertical="center"/>
    </xf>
    <xf numFmtId="0" fontId="12" fillId="0" borderId="2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5" fillId="7" borderId="79" xfId="0" applyFont="1" applyFill="1" applyBorder="1" applyAlignment="1" applyProtection="1">
      <alignment horizontal="center" vertical="center"/>
      <protection locked="0"/>
    </xf>
    <xf numFmtId="0" fontId="15" fillId="7" borderId="81" xfId="0" applyFont="1" applyFill="1" applyBorder="1" applyAlignment="1" applyProtection="1">
      <alignment horizontal="center" vertical="center"/>
      <protection locked="0"/>
    </xf>
    <xf numFmtId="0" fontId="15" fillId="5" borderId="37" xfId="0" applyFont="1" applyFill="1" applyBorder="1" applyAlignment="1" applyProtection="1">
      <alignment horizontal="center" vertical="center"/>
      <protection locked="0"/>
    </xf>
    <xf numFmtId="0" fontId="15" fillId="5" borderId="39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177" fontId="11" fillId="5" borderId="38" xfId="0" applyNumberFormat="1" applyFont="1" applyFill="1" applyBorder="1" applyAlignment="1" applyProtection="1">
      <alignment horizontal="center" vertical="center"/>
      <protection locked="0"/>
    </xf>
    <xf numFmtId="178" fontId="16" fillId="0" borderId="18" xfId="0" applyNumberFormat="1" applyFont="1" applyBorder="1" applyAlignment="1">
      <alignment horizontal="left" vertical="center"/>
    </xf>
    <xf numFmtId="178" fontId="16" fillId="0" borderId="8" xfId="0" applyNumberFormat="1" applyFont="1" applyBorder="1" applyAlignment="1">
      <alignment horizontal="left" vertical="center"/>
    </xf>
    <xf numFmtId="0" fontId="18" fillId="7" borderId="42" xfId="0" applyFont="1" applyFill="1" applyBorder="1" applyAlignment="1">
      <alignment horizontal="right" vertical="center"/>
    </xf>
    <xf numFmtId="0" fontId="18" fillId="7" borderId="43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textRotation="255"/>
    </xf>
    <xf numFmtId="0" fontId="12" fillId="2" borderId="4" xfId="0" applyFont="1" applyFill="1" applyBorder="1" applyAlignment="1">
      <alignment horizontal="center" vertical="center" textRotation="255"/>
    </xf>
    <xf numFmtId="0" fontId="11" fillId="2" borderId="7" xfId="0" applyFont="1" applyFill="1" applyBorder="1" applyAlignment="1">
      <alignment horizontal="center" vertical="center" textRotation="255"/>
    </xf>
    <xf numFmtId="0" fontId="11" fillId="2" borderId="13" xfId="0" applyFont="1" applyFill="1" applyBorder="1" applyAlignment="1">
      <alignment horizontal="center" vertical="center" textRotation="255"/>
    </xf>
    <xf numFmtId="0" fontId="11" fillId="2" borderId="9" xfId="0" applyFont="1" applyFill="1" applyBorder="1" applyAlignment="1">
      <alignment horizontal="center" vertical="center" textRotation="255"/>
    </xf>
    <xf numFmtId="178" fontId="15" fillId="5" borderId="37" xfId="0" applyNumberFormat="1" applyFont="1" applyFill="1" applyBorder="1" applyAlignment="1" applyProtection="1">
      <alignment horizontal="right" vertical="center"/>
      <protection locked="0"/>
    </xf>
    <xf numFmtId="178" fontId="15" fillId="5" borderId="39" xfId="0" applyNumberFormat="1" applyFont="1" applyFill="1" applyBorder="1" applyAlignment="1" applyProtection="1">
      <alignment horizontal="right" vertical="center"/>
      <protection locked="0"/>
    </xf>
    <xf numFmtId="0" fontId="11" fillId="2" borderId="5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79" fontId="15" fillId="0" borderId="45" xfId="0" applyNumberFormat="1" applyFont="1" applyBorder="1" applyAlignment="1">
      <alignment horizontal="right" vertical="center"/>
    </xf>
    <xf numFmtId="179" fontId="11" fillId="0" borderId="12" xfId="0" applyNumberFormat="1" applyFont="1" applyBorder="1">
      <alignment vertical="center"/>
    </xf>
    <xf numFmtId="179" fontId="18" fillId="7" borderId="41" xfId="0" applyNumberFormat="1" applyFont="1" applyFill="1" applyBorder="1">
      <alignment vertical="center"/>
    </xf>
    <xf numFmtId="179" fontId="11" fillId="0" borderId="12" xfId="0" applyNumberFormat="1" applyFont="1" applyBorder="1" applyAlignment="1">
      <alignment horizontal="right" vertical="center"/>
    </xf>
    <xf numFmtId="178" fontId="18" fillId="7" borderId="78" xfId="0" applyNumberFormat="1" applyFont="1" applyFill="1" applyBorder="1" applyAlignment="1" applyProtection="1">
      <alignment horizontal="right" vertical="center"/>
      <protection locked="0"/>
    </xf>
    <xf numFmtId="178" fontId="11" fillId="0" borderId="12" xfId="0" applyNumberFormat="1" applyFont="1" applyBorder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0" fontId="18" fillId="7" borderId="41" xfId="0" applyFont="1" applyFill="1" applyBorder="1" applyAlignment="1">
      <alignment horizontal="center" vertical="center"/>
    </xf>
    <xf numFmtId="179" fontId="15" fillId="0" borderId="59" xfId="0" applyNumberFormat="1" applyFont="1" applyBorder="1" applyAlignment="1">
      <alignment horizontal="right" vertical="center"/>
    </xf>
    <xf numFmtId="179" fontId="15" fillId="0" borderId="43" xfId="0" applyNumberFormat="1" applyFont="1" applyBorder="1" applyAlignment="1">
      <alignment horizontal="right" vertical="center"/>
    </xf>
    <xf numFmtId="178" fontId="15" fillId="7" borderId="79" xfId="0" applyNumberFormat="1" applyFont="1" applyFill="1" applyBorder="1" applyAlignment="1" applyProtection="1">
      <alignment horizontal="right" vertical="center"/>
      <protection locked="0"/>
    </xf>
    <xf numFmtId="178" fontId="15" fillId="7" borderId="81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0" fontId="11" fillId="5" borderId="52" xfId="0" applyFont="1" applyFill="1" applyBorder="1" applyAlignment="1" applyProtection="1">
      <alignment horizontal="center" vertical="center"/>
      <protection locked="0"/>
    </xf>
    <xf numFmtId="0" fontId="11" fillId="5" borderId="72" xfId="0" applyFont="1" applyFill="1" applyBorder="1" applyAlignment="1" applyProtection="1">
      <alignment horizontal="center" vertical="center"/>
      <protection locked="0"/>
    </xf>
    <xf numFmtId="0" fontId="11" fillId="5" borderId="53" xfId="0" applyFont="1" applyFill="1" applyBorder="1" applyAlignment="1" applyProtection="1">
      <alignment horizontal="center" vertical="center"/>
      <protection locked="0"/>
    </xf>
    <xf numFmtId="0" fontId="11" fillId="5" borderId="54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9" fontId="12" fillId="0" borderId="9" xfId="0" applyNumberFormat="1" applyFont="1" applyBorder="1" applyAlignment="1">
      <alignment horizontal="right" vertical="center"/>
    </xf>
    <xf numFmtId="179" fontId="12" fillId="0" borderId="12" xfId="0" applyNumberFormat="1" applyFont="1" applyBorder="1" applyAlignment="1">
      <alignment horizontal="right" vertical="center"/>
    </xf>
    <xf numFmtId="0" fontId="12" fillId="2" borderId="19" xfId="0" applyFont="1" applyFill="1" applyBorder="1" applyAlignment="1">
      <alignment horizontal="center" vertical="center" textRotation="255"/>
    </xf>
    <xf numFmtId="0" fontId="12" fillId="5" borderId="37" xfId="0" applyFont="1" applyFill="1" applyBorder="1" applyAlignment="1" applyProtection="1">
      <alignment horizontal="center" vertical="center"/>
      <protection locked="0"/>
    </xf>
    <xf numFmtId="0" fontId="12" fillId="5" borderId="39" xfId="0" applyFont="1" applyFill="1" applyBorder="1" applyAlignment="1" applyProtection="1">
      <alignment horizontal="center" vertical="center"/>
      <protection locked="0"/>
    </xf>
    <xf numFmtId="0" fontId="12" fillId="5" borderId="38" xfId="0" applyFont="1" applyFill="1" applyBorder="1" applyAlignment="1" applyProtection="1">
      <alignment horizontal="center" vertical="center"/>
      <protection locked="0"/>
    </xf>
    <xf numFmtId="179" fontId="12" fillId="0" borderId="4" xfId="0" applyNumberFormat="1" applyFont="1" applyBorder="1" applyAlignment="1">
      <alignment horizontal="right" vertical="center"/>
    </xf>
    <xf numFmtId="179" fontId="12" fillId="0" borderId="1" xfId="0" applyNumberFormat="1" applyFont="1" applyBorder="1" applyAlignment="1">
      <alignment horizontal="right" vertical="center"/>
    </xf>
    <xf numFmtId="179" fontId="12" fillId="0" borderId="6" xfId="0" applyNumberFormat="1" applyFont="1" applyBorder="1" applyAlignment="1">
      <alignment horizontal="right" vertical="center"/>
    </xf>
    <xf numFmtId="0" fontId="11" fillId="5" borderId="37" xfId="0" applyFont="1" applyFill="1" applyBorder="1" applyAlignment="1" applyProtection="1">
      <alignment horizontal="center" vertical="center"/>
      <protection locked="0"/>
    </xf>
    <xf numFmtId="0" fontId="11" fillId="5" borderId="39" xfId="0" applyFont="1" applyFill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176" fontId="11" fillId="0" borderId="18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179" fontId="12" fillId="0" borderId="11" xfId="0" applyNumberFormat="1" applyFont="1" applyBorder="1" applyAlignment="1">
      <alignment horizontal="right" vertical="center"/>
    </xf>
    <xf numFmtId="0" fontId="12" fillId="4" borderId="14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178" fontId="13" fillId="0" borderId="11" xfId="0" applyNumberFormat="1" applyFont="1" applyBorder="1" applyAlignment="1">
      <alignment horizontal="right" vertical="center"/>
    </xf>
    <xf numFmtId="0" fontId="12" fillId="5" borderId="52" xfId="0" applyFont="1" applyFill="1" applyBorder="1" applyAlignment="1" applyProtection="1">
      <alignment horizontal="center" vertical="center"/>
      <protection locked="0"/>
    </xf>
    <xf numFmtId="0" fontId="12" fillId="5" borderId="54" xfId="0" applyFont="1" applyFill="1" applyBorder="1" applyAlignment="1" applyProtection="1">
      <alignment horizontal="center" vertical="center"/>
      <protection locked="0"/>
    </xf>
    <xf numFmtId="0" fontId="11" fillId="5" borderId="38" xfId="0" applyFont="1" applyFill="1" applyBorder="1" applyAlignment="1" applyProtection="1">
      <alignment horizontal="center" vertical="center"/>
      <protection locked="0"/>
    </xf>
    <xf numFmtId="177" fontId="11" fillId="0" borderId="13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179" fontId="12" fillId="0" borderId="7" xfId="0" applyNumberFormat="1" applyFont="1" applyBorder="1" applyAlignment="1">
      <alignment horizontal="right" vertical="center"/>
    </xf>
    <xf numFmtId="179" fontId="12" fillId="0" borderId="18" xfId="0" applyNumberFormat="1" applyFont="1" applyBorder="1" applyAlignment="1">
      <alignment horizontal="right" vertical="center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0" borderId="50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/>
    </xf>
    <xf numFmtId="0" fontId="12" fillId="0" borderId="55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1" fillId="5" borderId="57" xfId="0" applyFont="1" applyFill="1" applyBorder="1" applyAlignment="1" applyProtection="1">
      <alignment horizontal="center" vertical="center"/>
      <protection locked="0"/>
    </xf>
    <xf numFmtId="177" fontId="12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2" borderId="84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11" fillId="2" borderId="86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 applyProtection="1">
      <alignment horizontal="center" vertical="center"/>
      <protection locked="0"/>
    </xf>
    <xf numFmtId="0" fontId="11" fillId="5" borderId="56" xfId="0" applyFont="1" applyFill="1" applyBorder="1" applyAlignment="1" applyProtection="1">
      <alignment horizontal="center" vertical="center"/>
      <protection locked="0"/>
    </xf>
    <xf numFmtId="0" fontId="11" fillId="5" borderId="69" xfId="0" applyFont="1" applyFill="1" applyBorder="1" applyAlignment="1" applyProtection="1">
      <alignment horizontal="center" vertical="center"/>
      <protection locked="0"/>
    </xf>
    <xf numFmtId="0" fontId="11" fillId="5" borderId="34" xfId="0" applyFont="1" applyFill="1" applyBorder="1" applyAlignment="1" applyProtection="1">
      <alignment horizontal="center" vertical="center"/>
      <protection locked="0"/>
    </xf>
    <xf numFmtId="0" fontId="11" fillId="5" borderId="51" xfId="0" applyFont="1" applyFill="1" applyBorder="1" applyAlignment="1" applyProtection="1">
      <alignment horizontal="center" vertical="center"/>
      <protection locked="0"/>
    </xf>
    <xf numFmtId="0" fontId="11" fillId="5" borderId="35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標準" xfId="0" builtinId="0"/>
    <cellStyle name="標準_Sheet1" xfId="1" xr:uid="{DD4646E6-BFE7-4FCE-81BB-492ECBC9017F}"/>
  </cellStyles>
  <dxfs count="87"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strike/>
        <color rgb="FFFF0000"/>
      </font>
      <fill>
        <patternFill>
          <bgColor rgb="FFFFFF00"/>
        </patternFill>
      </fill>
    </dxf>
    <dxf>
      <font>
        <strike/>
        <color rgb="FFFF0000"/>
      </font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1"/>
      </font>
    </dxf>
    <dxf>
      <font>
        <color theme="0"/>
      </font>
    </dxf>
    <dxf>
      <fill>
        <patternFill patternType="none">
          <bgColor auto="1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 tint="-0.34998626667073579"/>
      </font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rgb="FFFF0000"/>
      </font>
      <fill>
        <patternFill>
          <bgColor rgb="FFFFFF00"/>
        </patternFill>
      </fill>
    </dxf>
    <dxf>
      <font>
        <strike/>
        <color rgb="FFFF0000"/>
      </font>
      <fill>
        <patternFill>
          <bgColor rgb="FFFFFF00"/>
        </patternFill>
      </fill>
    </dxf>
    <dxf>
      <font>
        <color theme="1"/>
      </font>
    </dxf>
    <dxf>
      <border>
        <bottom/>
        <vertical/>
        <horizontal/>
      </border>
    </dxf>
    <dxf>
      <fill>
        <patternFill>
          <bgColor theme="0" tint="-4.9989318521683403E-2"/>
        </patternFill>
      </fill>
    </dxf>
    <dxf>
      <border>
        <top/>
        <vertical/>
        <horizontal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データシート!$E$6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37</xdr:row>
          <xdr:rowOff>30480</xdr:rowOff>
        </xdr:from>
        <xdr:to>
          <xdr:col>2</xdr:col>
          <xdr:colOff>373380</xdr:colOff>
          <xdr:row>37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A146-B21C-4A2C-B3F0-240373ACEDE9}">
  <sheetPr codeName="Sheet2"/>
  <dimension ref="A1:AU187"/>
  <sheetViews>
    <sheetView workbookViewId="0"/>
  </sheetViews>
  <sheetFormatPr defaultRowHeight="18" x14ac:dyDescent="0.45"/>
  <cols>
    <col min="1" max="1" width="8.3984375" customWidth="1"/>
  </cols>
  <sheetData>
    <row r="1" spans="1:47" x14ac:dyDescent="0.45">
      <c r="A1" t="s">
        <v>1922</v>
      </c>
      <c r="M1" s="47" t="s">
        <v>1929</v>
      </c>
      <c r="N1" s="47"/>
      <c r="O1" s="47"/>
    </row>
    <row r="2" spans="1:47" x14ac:dyDescent="0.45">
      <c r="A2" s="42" t="s">
        <v>121</v>
      </c>
      <c r="B2" s="42" t="s">
        <v>307</v>
      </c>
      <c r="C2" s="42" t="s">
        <v>348</v>
      </c>
      <c r="D2" s="42" t="s">
        <v>382</v>
      </c>
      <c r="E2" s="42" t="s">
        <v>418</v>
      </c>
      <c r="F2" s="42" t="s">
        <v>444</v>
      </c>
      <c r="G2" s="42" t="s">
        <v>480</v>
      </c>
      <c r="H2" s="42" t="s">
        <v>538</v>
      </c>
      <c r="I2" s="42" t="s">
        <v>583</v>
      </c>
      <c r="J2" s="42" t="s">
        <v>609</v>
      </c>
      <c r="K2" s="42" t="s">
        <v>644</v>
      </c>
      <c r="L2" s="42" t="s">
        <v>707</v>
      </c>
      <c r="M2" s="42" t="s">
        <v>762</v>
      </c>
      <c r="N2" s="42" t="s">
        <v>825</v>
      </c>
      <c r="O2" s="42" t="s">
        <v>859</v>
      </c>
      <c r="P2" s="42" t="s">
        <v>890</v>
      </c>
      <c r="Q2" s="42" t="s">
        <v>905</v>
      </c>
      <c r="R2" s="42" t="s">
        <v>925</v>
      </c>
      <c r="S2" s="42" t="s">
        <v>942</v>
      </c>
      <c r="T2" s="42" t="s">
        <v>969</v>
      </c>
      <c r="U2" s="42" t="s">
        <v>1044</v>
      </c>
      <c r="V2" s="42" t="s">
        <v>1086</v>
      </c>
      <c r="W2" s="42" t="s">
        <v>1120</v>
      </c>
      <c r="X2" s="42" t="s">
        <v>1174</v>
      </c>
      <c r="Y2" s="42" t="s">
        <v>1202</v>
      </c>
      <c r="Z2" s="42" t="s">
        <v>1222</v>
      </c>
      <c r="AA2" s="42" t="s">
        <v>1249</v>
      </c>
      <c r="AB2" s="42" t="s">
        <v>1293</v>
      </c>
      <c r="AC2" s="42" t="s">
        <v>1334</v>
      </c>
      <c r="AD2" s="42" t="s">
        <v>1372</v>
      </c>
      <c r="AE2" s="42" t="s">
        <v>1401</v>
      </c>
      <c r="AF2" s="42" t="s">
        <v>1419</v>
      </c>
      <c r="AG2" s="42" t="s">
        <v>1438</v>
      </c>
      <c r="AH2" s="42" t="s">
        <v>1466</v>
      </c>
      <c r="AI2" s="42" t="s">
        <v>1489</v>
      </c>
      <c r="AJ2" s="42" t="s">
        <v>1509</v>
      </c>
      <c r="AK2" s="42" t="s">
        <v>1534</v>
      </c>
      <c r="AL2" s="42" t="s">
        <v>1552</v>
      </c>
      <c r="AM2" s="42" t="s">
        <v>1572</v>
      </c>
      <c r="AN2" s="42" t="s">
        <v>1607</v>
      </c>
      <c r="AO2" s="42" t="s">
        <v>1666</v>
      </c>
      <c r="AP2" s="42" t="s">
        <v>1687</v>
      </c>
      <c r="AQ2" s="42" t="s">
        <v>1709</v>
      </c>
      <c r="AR2" s="42" t="s">
        <v>1752</v>
      </c>
      <c r="AS2" s="42" t="s">
        <v>1771</v>
      </c>
      <c r="AT2" s="42" t="s">
        <v>1797</v>
      </c>
      <c r="AU2" s="42" t="s">
        <v>1841</v>
      </c>
    </row>
    <row r="3" spans="1:47" x14ac:dyDescent="0.45">
      <c r="A3" s="43" t="s">
        <v>122</v>
      </c>
      <c r="B3" s="43" t="s">
        <v>308</v>
      </c>
      <c r="C3" s="43" t="s">
        <v>349</v>
      </c>
      <c r="D3" s="43" t="s">
        <v>383</v>
      </c>
      <c r="E3" s="43" t="s">
        <v>419</v>
      </c>
      <c r="F3" s="43" t="s">
        <v>445</v>
      </c>
      <c r="G3" s="43" t="s">
        <v>481</v>
      </c>
      <c r="H3" s="43" t="s">
        <v>539</v>
      </c>
      <c r="I3" s="43" t="s">
        <v>584</v>
      </c>
      <c r="J3" s="43" t="s">
        <v>610</v>
      </c>
      <c r="K3" s="43" t="s">
        <v>645</v>
      </c>
      <c r="L3" s="43" t="s">
        <v>708</v>
      </c>
      <c r="M3" s="43" t="s">
        <v>763</v>
      </c>
      <c r="N3" s="43" t="s">
        <v>826</v>
      </c>
      <c r="O3" s="43" t="s">
        <v>860</v>
      </c>
      <c r="P3" s="43" t="s">
        <v>891</v>
      </c>
      <c r="Q3" s="43" t="s">
        <v>906</v>
      </c>
      <c r="R3" s="43" t="s">
        <v>926</v>
      </c>
      <c r="S3" s="43" t="s">
        <v>943</v>
      </c>
      <c r="T3" s="43" t="s">
        <v>970</v>
      </c>
      <c r="U3" s="43" t="s">
        <v>1045</v>
      </c>
      <c r="V3" s="43" t="s">
        <v>1087</v>
      </c>
      <c r="W3" s="43" t="s">
        <v>1121</v>
      </c>
      <c r="X3" s="43" t="s">
        <v>1175</v>
      </c>
      <c r="Y3" s="43" t="s">
        <v>1203</v>
      </c>
      <c r="Z3" s="43" t="s">
        <v>1223</v>
      </c>
      <c r="AA3" s="43" t="s">
        <v>1250</v>
      </c>
      <c r="AB3" s="43" t="s">
        <v>1294</v>
      </c>
      <c r="AC3" s="43" t="s">
        <v>1335</v>
      </c>
      <c r="AD3" s="43" t="s">
        <v>1373</v>
      </c>
      <c r="AE3" s="43" t="s">
        <v>1402</v>
      </c>
      <c r="AF3" s="43" t="s">
        <v>1420</v>
      </c>
      <c r="AG3" s="43" t="s">
        <v>1439</v>
      </c>
      <c r="AH3" s="43" t="s">
        <v>1467</v>
      </c>
      <c r="AI3" s="43" t="s">
        <v>1490</v>
      </c>
      <c r="AJ3" s="43" t="s">
        <v>1510</v>
      </c>
      <c r="AK3" s="43" t="s">
        <v>1535</v>
      </c>
      <c r="AL3" s="43" t="s">
        <v>1553</v>
      </c>
      <c r="AM3" s="43" t="s">
        <v>1573</v>
      </c>
      <c r="AN3" s="43" t="s">
        <v>1608</v>
      </c>
      <c r="AO3" s="43" t="s">
        <v>1667</v>
      </c>
      <c r="AP3" s="43" t="s">
        <v>1688</v>
      </c>
      <c r="AQ3" s="43" t="s">
        <v>1710</v>
      </c>
      <c r="AR3" s="43" t="s">
        <v>1753</v>
      </c>
      <c r="AS3" s="43" t="s">
        <v>1772</v>
      </c>
      <c r="AT3" s="43" t="s">
        <v>1798</v>
      </c>
      <c r="AU3" s="43" t="s">
        <v>1842</v>
      </c>
    </row>
    <row r="4" spans="1:47" x14ac:dyDescent="0.45">
      <c r="A4" s="43" t="s">
        <v>123</v>
      </c>
      <c r="B4" s="43" t="s">
        <v>309</v>
      </c>
      <c r="C4" s="43" t="s">
        <v>350</v>
      </c>
      <c r="D4" s="43" t="s">
        <v>384</v>
      </c>
      <c r="E4" s="43" t="s">
        <v>420</v>
      </c>
      <c r="F4" s="43" t="s">
        <v>446</v>
      </c>
      <c r="G4" s="43" t="s">
        <v>482</v>
      </c>
      <c r="H4" s="43" t="s">
        <v>540</v>
      </c>
      <c r="I4" s="43" t="s">
        <v>585</v>
      </c>
      <c r="J4" s="43" t="s">
        <v>611</v>
      </c>
      <c r="K4" s="43" t="s">
        <v>646</v>
      </c>
      <c r="L4" s="43" t="s">
        <v>709</v>
      </c>
      <c r="M4" s="43" t="s">
        <v>764</v>
      </c>
      <c r="N4" s="43" t="s">
        <v>827</v>
      </c>
      <c r="O4" s="43" t="s">
        <v>861</v>
      </c>
      <c r="P4" s="43" t="s">
        <v>892</v>
      </c>
      <c r="Q4" s="43" t="s">
        <v>907</v>
      </c>
      <c r="R4" s="43" t="s">
        <v>927</v>
      </c>
      <c r="S4" s="43" t="s">
        <v>944</v>
      </c>
      <c r="T4" s="43" t="s">
        <v>971</v>
      </c>
      <c r="U4" s="43" t="s">
        <v>1046</v>
      </c>
      <c r="V4" s="43" t="s">
        <v>1088</v>
      </c>
      <c r="W4" s="43" t="s">
        <v>1122</v>
      </c>
      <c r="X4" s="43" t="s">
        <v>1176</v>
      </c>
      <c r="Y4" s="43" t="s">
        <v>1204</v>
      </c>
      <c r="Z4" s="43" t="s">
        <v>1224</v>
      </c>
      <c r="AA4" s="43" t="s">
        <v>1251</v>
      </c>
      <c r="AB4" s="43" t="s">
        <v>1295</v>
      </c>
      <c r="AC4" s="43" t="s">
        <v>1336</v>
      </c>
      <c r="AD4" s="43" t="s">
        <v>1374</v>
      </c>
      <c r="AE4" s="43" t="s">
        <v>1403</v>
      </c>
      <c r="AF4" s="43" t="s">
        <v>1421</v>
      </c>
      <c r="AG4" s="43" t="s">
        <v>1440</v>
      </c>
      <c r="AH4" s="43" t="s">
        <v>1468</v>
      </c>
      <c r="AI4" s="43" t="s">
        <v>1491</v>
      </c>
      <c r="AJ4" s="43" t="s">
        <v>1511</v>
      </c>
      <c r="AK4" s="43" t="s">
        <v>1536</v>
      </c>
      <c r="AL4" s="43" t="s">
        <v>1554</v>
      </c>
      <c r="AM4" s="43" t="s">
        <v>1574</v>
      </c>
      <c r="AN4" s="43" t="s">
        <v>1609</v>
      </c>
      <c r="AO4" s="43" t="s">
        <v>1668</v>
      </c>
      <c r="AP4" s="43" t="s">
        <v>1689</v>
      </c>
      <c r="AQ4" s="43" t="s">
        <v>1711</v>
      </c>
      <c r="AR4" s="43" t="s">
        <v>1754</v>
      </c>
      <c r="AS4" s="43" t="s">
        <v>1773</v>
      </c>
      <c r="AT4" s="43" t="s">
        <v>1799</v>
      </c>
      <c r="AU4" s="43" t="s">
        <v>1843</v>
      </c>
    </row>
    <row r="5" spans="1:47" x14ac:dyDescent="0.45">
      <c r="A5" s="43" t="s">
        <v>124</v>
      </c>
      <c r="B5" s="43" t="s">
        <v>310</v>
      </c>
      <c r="C5" s="43" t="s">
        <v>351</v>
      </c>
      <c r="D5" s="43" t="s">
        <v>385</v>
      </c>
      <c r="E5" s="43" t="s">
        <v>421</v>
      </c>
      <c r="F5" s="43" t="s">
        <v>447</v>
      </c>
      <c r="G5" s="43" t="s">
        <v>483</v>
      </c>
      <c r="H5" s="43" t="s">
        <v>541</v>
      </c>
      <c r="I5" s="43" t="s">
        <v>586</v>
      </c>
      <c r="J5" s="43" t="s">
        <v>612</v>
      </c>
      <c r="K5" s="43" t="s">
        <v>647</v>
      </c>
      <c r="L5" s="43" t="s">
        <v>710</v>
      </c>
      <c r="M5" s="43" t="s">
        <v>765</v>
      </c>
      <c r="N5" s="43" t="s">
        <v>828</v>
      </c>
      <c r="O5" s="43" t="s">
        <v>862</v>
      </c>
      <c r="P5" s="43" t="s">
        <v>893</v>
      </c>
      <c r="Q5" s="43" t="s">
        <v>908</v>
      </c>
      <c r="R5" s="43" t="s">
        <v>928</v>
      </c>
      <c r="S5" s="43" t="s">
        <v>945</v>
      </c>
      <c r="T5" s="43" t="s">
        <v>972</v>
      </c>
      <c r="U5" s="43" t="s">
        <v>1047</v>
      </c>
      <c r="V5" s="43" t="s">
        <v>1089</v>
      </c>
      <c r="W5" s="43" t="s">
        <v>1123</v>
      </c>
      <c r="X5" s="43" t="s">
        <v>1177</v>
      </c>
      <c r="Y5" s="43" t="s">
        <v>1205</v>
      </c>
      <c r="Z5" s="43" t="s">
        <v>1225</v>
      </c>
      <c r="AA5" s="43" t="s">
        <v>1252</v>
      </c>
      <c r="AB5" s="43" t="s">
        <v>1296</v>
      </c>
      <c r="AC5" s="43" t="s">
        <v>1337</v>
      </c>
      <c r="AD5" s="43" t="s">
        <v>1375</v>
      </c>
      <c r="AE5" s="43" t="s">
        <v>1404</v>
      </c>
      <c r="AF5" s="43" t="s">
        <v>1422</v>
      </c>
      <c r="AG5" s="43" t="s">
        <v>1441</v>
      </c>
      <c r="AH5" s="43" t="s">
        <v>1469</v>
      </c>
      <c r="AI5" s="43" t="s">
        <v>1492</v>
      </c>
      <c r="AJ5" s="43" t="s">
        <v>1512</v>
      </c>
      <c r="AK5" s="43" t="s">
        <v>1537</v>
      </c>
      <c r="AL5" s="43" t="s">
        <v>1555</v>
      </c>
      <c r="AM5" s="43" t="s">
        <v>1575</v>
      </c>
      <c r="AN5" s="43" t="s">
        <v>1610</v>
      </c>
      <c r="AO5" s="43" t="s">
        <v>1669</v>
      </c>
      <c r="AP5" s="43" t="s">
        <v>1690</v>
      </c>
      <c r="AQ5" s="43" t="s">
        <v>1712</v>
      </c>
      <c r="AR5" s="43" t="s">
        <v>1755</v>
      </c>
      <c r="AS5" s="43" t="s">
        <v>1774</v>
      </c>
      <c r="AT5" s="43" t="s">
        <v>1800</v>
      </c>
      <c r="AU5" s="43" t="s">
        <v>1844</v>
      </c>
    </row>
    <row r="6" spans="1:47" x14ac:dyDescent="0.45">
      <c r="A6" s="43" t="s">
        <v>125</v>
      </c>
      <c r="B6" s="43" t="s">
        <v>311</v>
      </c>
      <c r="C6" s="43" t="s">
        <v>352</v>
      </c>
      <c r="D6" s="43" t="s">
        <v>386</v>
      </c>
      <c r="E6" s="43" t="s">
        <v>422</v>
      </c>
      <c r="F6" s="43" t="s">
        <v>448</v>
      </c>
      <c r="G6" s="43" t="s">
        <v>484</v>
      </c>
      <c r="H6" s="43" t="s">
        <v>542</v>
      </c>
      <c r="I6" s="43" t="s">
        <v>587</v>
      </c>
      <c r="J6" s="43" t="s">
        <v>613</v>
      </c>
      <c r="K6" s="43" t="s">
        <v>648</v>
      </c>
      <c r="L6" s="43" t="s">
        <v>711</v>
      </c>
      <c r="M6" s="43" t="s">
        <v>766</v>
      </c>
      <c r="N6" s="43" t="s">
        <v>829</v>
      </c>
      <c r="O6" s="43" t="s">
        <v>863</v>
      </c>
      <c r="P6" s="43" t="s">
        <v>894</v>
      </c>
      <c r="Q6" s="43" t="s">
        <v>909</v>
      </c>
      <c r="R6" s="43" t="s">
        <v>929</v>
      </c>
      <c r="S6" s="43" t="s">
        <v>946</v>
      </c>
      <c r="T6" s="43" t="s">
        <v>973</v>
      </c>
      <c r="U6" s="43" t="s">
        <v>1048</v>
      </c>
      <c r="V6" s="43" t="s">
        <v>1090</v>
      </c>
      <c r="W6" s="43" t="s">
        <v>1124</v>
      </c>
      <c r="X6" s="43" t="s">
        <v>1178</v>
      </c>
      <c r="Y6" s="43" t="s">
        <v>1206</v>
      </c>
      <c r="Z6" s="43" t="s">
        <v>1226</v>
      </c>
      <c r="AA6" s="43" t="s">
        <v>1253</v>
      </c>
      <c r="AB6" s="43" t="s">
        <v>1297</v>
      </c>
      <c r="AC6" s="43" t="s">
        <v>1338</v>
      </c>
      <c r="AD6" s="43" t="s">
        <v>1376</v>
      </c>
      <c r="AE6" s="43" t="s">
        <v>1405</v>
      </c>
      <c r="AF6" s="43" t="s">
        <v>1423</v>
      </c>
      <c r="AG6" s="43" t="s">
        <v>1442</v>
      </c>
      <c r="AH6" s="43" t="s">
        <v>1470</v>
      </c>
      <c r="AI6" s="43" t="s">
        <v>1493</v>
      </c>
      <c r="AJ6" s="43" t="s">
        <v>1513</v>
      </c>
      <c r="AK6" s="43" t="s">
        <v>1538</v>
      </c>
      <c r="AL6" s="43" t="s">
        <v>1556</v>
      </c>
      <c r="AM6" s="43" t="s">
        <v>1576</v>
      </c>
      <c r="AN6" s="43" t="s">
        <v>1611</v>
      </c>
      <c r="AO6" s="43" t="s">
        <v>1670</v>
      </c>
      <c r="AP6" s="43" t="s">
        <v>1691</v>
      </c>
      <c r="AQ6" s="43" t="s">
        <v>1713</v>
      </c>
      <c r="AR6" s="43" t="s">
        <v>1756</v>
      </c>
      <c r="AS6" s="43" t="s">
        <v>1775</v>
      </c>
      <c r="AT6" s="43" t="s">
        <v>1801</v>
      </c>
      <c r="AU6" s="43" t="s">
        <v>1845</v>
      </c>
    </row>
    <row r="7" spans="1:47" x14ac:dyDescent="0.45">
      <c r="A7" s="43" t="s">
        <v>126</v>
      </c>
      <c r="B7" s="43" t="s">
        <v>312</v>
      </c>
      <c r="C7" s="43" t="s">
        <v>353</v>
      </c>
      <c r="D7" s="43" t="s">
        <v>387</v>
      </c>
      <c r="E7" s="43" t="s">
        <v>423</v>
      </c>
      <c r="F7" s="43" t="s">
        <v>449</v>
      </c>
      <c r="G7" s="43" t="s">
        <v>485</v>
      </c>
      <c r="H7" s="43" t="s">
        <v>543</v>
      </c>
      <c r="I7" s="43" t="s">
        <v>588</v>
      </c>
      <c r="J7" s="43" t="s">
        <v>614</v>
      </c>
      <c r="K7" s="43" t="s">
        <v>649</v>
      </c>
      <c r="L7" s="43" t="s">
        <v>712</v>
      </c>
      <c r="M7" s="43" t="s">
        <v>767</v>
      </c>
      <c r="N7" s="43" t="s">
        <v>830</v>
      </c>
      <c r="O7" s="43" t="s">
        <v>864</v>
      </c>
      <c r="P7" s="43" t="s">
        <v>895</v>
      </c>
      <c r="Q7" s="43" t="s">
        <v>910</v>
      </c>
      <c r="R7" s="43" t="s">
        <v>930</v>
      </c>
      <c r="S7" s="43" t="s">
        <v>947</v>
      </c>
      <c r="T7" s="43" t="s">
        <v>974</v>
      </c>
      <c r="U7" s="43" t="s">
        <v>1049</v>
      </c>
      <c r="V7" s="43" t="s">
        <v>1091</v>
      </c>
      <c r="W7" s="43" t="s">
        <v>1125</v>
      </c>
      <c r="X7" s="43" t="s">
        <v>1179</v>
      </c>
      <c r="Y7" s="43" t="s">
        <v>1207</v>
      </c>
      <c r="Z7" s="43" t="s">
        <v>1227</v>
      </c>
      <c r="AA7" s="43" t="s">
        <v>1254</v>
      </c>
      <c r="AB7" s="43" t="s">
        <v>1298</v>
      </c>
      <c r="AC7" s="43" t="s">
        <v>1339</v>
      </c>
      <c r="AD7" s="43" t="s">
        <v>1377</v>
      </c>
      <c r="AE7" s="43" t="s">
        <v>1406</v>
      </c>
      <c r="AF7" s="43" t="s">
        <v>1424</v>
      </c>
      <c r="AG7" s="43" t="s">
        <v>1443</v>
      </c>
      <c r="AH7" s="43" t="s">
        <v>1471</v>
      </c>
      <c r="AI7" s="43" t="s">
        <v>1494</v>
      </c>
      <c r="AJ7" s="43" t="s">
        <v>1514</v>
      </c>
      <c r="AK7" s="43" t="s">
        <v>1539</v>
      </c>
      <c r="AL7" s="43" t="s">
        <v>1557</v>
      </c>
      <c r="AM7" s="43" t="s">
        <v>1577</v>
      </c>
      <c r="AN7" s="43" t="s">
        <v>1612</v>
      </c>
      <c r="AO7" s="43" t="s">
        <v>1671</v>
      </c>
      <c r="AP7" s="43" t="s">
        <v>1692</v>
      </c>
      <c r="AQ7" s="43" t="s">
        <v>1714</v>
      </c>
      <c r="AR7" s="43" t="s">
        <v>1757</v>
      </c>
      <c r="AS7" s="43" t="s">
        <v>1776</v>
      </c>
      <c r="AT7" s="43" t="s">
        <v>1802</v>
      </c>
      <c r="AU7" s="43" t="s">
        <v>1846</v>
      </c>
    </row>
    <row r="8" spans="1:47" x14ac:dyDescent="0.45">
      <c r="A8" s="43" t="s">
        <v>127</v>
      </c>
      <c r="B8" s="43" t="s">
        <v>313</v>
      </c>
      <c r="C8" s="43" t="s">
        <v>354</v>
      </c>
      <c r="D8" s="43" t="s">
        <v>388</v>
      </c>
      <c r="E8" s="43" t="s">
        <v>424</v>
      </c>
      <c r="F8" s="43" t="s">
        <v>450</v>
      </c>
      <c r="G8" s="43" t="s">
        <v>486</v>
      </c>
      <c r="H8" s="43" t="s">
        <v>544</v>
      </c>
      <c r="I8" s="43" t="s">
        <v>589</v>
      </c>
      <c r="J8" s="43" t="s">
        <v>615</v>
      </c>
      <c r="K8" s="43" t="s">
        <v>650</v>
      </c>
      <c r="L8" s="43" t="s">
        <v>713</v>
      </c>
      <c r="M8" s="43" t="s">
        <v>768</v>
      </c>
      <c r="N8" s="43" t="s">
        <v>831</v>
      </c>
      <c r="O8" s="43" t="s">
        <v>865</v>
      </c>
      <c r="P8" s="43" t="s">
        <v>896</v>
      </c>
      <c r="Q8" s="43" t="s">
        <v>911</v>
      </c>
      <c r="R8" s="43" t="s">
        <v>931</v>
      </c>
      <c r="S8" s="43" t="s">
        <v>948</v>
      </c>
      <c r="T8" s="43" t="s">
        <v>975</v>
      </c>
      <c r="U8" s="43" t="s">
        <v>1050</v>
      </c>
      <c r="V8" s="43" t="s">
        <v>1092</v>
      </c>
      <c r="W8" s="43" t="s">
        <v>1126</v>
      </c>
      <c r="X8" s="43" t="s">
        <v>1180</v>
      </c>
      <c r="Y8" s="43" t="s">
        <v>1208</v>
      </c>
      <c r="Z8" s="43" t="s">
        <v>1228</v>
      </c>
      <c r="AA8" s="43" t="s">
        <v>1255</v>
      </c>
      <c r="AB8" s="43" t="s">
        <v>1299</v>
      </c>
      <c r="AC8" s="43" t="s">
        <v>1340</v>
      </c>
      <c r="AD8" s="43" t="s">
        <v>1378</v>
      </c>
      <c r="AE8" s="43" t="s">
        <v>1407</v>
      </c>
      <c r="AF8" s="43" t="s">
        <v>1425</v>
      </c>
      <c r="AG8" s="43" t="s">
        <v>1444</v>
      </c>
      <c r="AH8" s="43" t="s">
        <v>1472</v>
      </c>
      <c r="AI8" s="43" t="s">
        <v>1495</v>
      </c>
      <c r="AJ8" s="43" t="s">
        <v>1515</v>
      </c>
      <c r="AK8" s="43" t="s">
        <v>1540</v>
      </c>
      <c r="AL8" s="43" t="s">
        <v>1558</v>
      </c>
      <c r="AM8" s="43" t="s">
        <v>1578</v>
      </c>
      <c r="AN8" s="43" t="s">
        <v>1613</v>
      </c>
      <c r="AO8" s="43" t="s">
        <v>1672</v>
      </c>
      <c r="AP8" s="43" t="s">
        <v>1693</v>
      </c>
      <c r="AQ8" s="43" t="s">
        <v>1715</v>
      </c>
      <c r="AR8" s="43" t="s">
        <v>1758</v>
      </c>
      <c r="AS8" s="43" t="s">
        <v>1777</v>
      </c>
      <c r="AT8" s="43" t="s">
        <v>1803</v>
      </c>
      <c r="AU8" s="43" t="s">
        <v>1847</v>
      </c>
    </row>
    <row r="9" spans="1:47" x14ac:dyDescent="0.45">
      <c r="A9" s="43" t="s">
        <v>128</v>
      </c>
      <c r="B9" s="43" t="s">
        <v>314</v>
      </c>
      <c r="C9" s="43" t="s">
        <v>355</v>
      </c>
      <c r="D9" s="43" t="s">
        <v>389</v>
      </c>
      <c r="E9" s="43" t="s">
        <v>425</v>
      </c>
      <c r="F9" s="43" t="s">
        <v>451</v>
      </c>
      <c r="G9" s="43" t="s">
        <v>487</v>
      </c>
      <c r="H9" s="43" t="s">
        <v>545</v>
      </c>
      <c r="I9" s="43" t="s">
        <v>590</v>
      </c>
      <c r="J9" s="43" t="s">
        <v>616</v>
      </c>
      <c r="K9" s="43" t="s">
        <v>651</v>
      </c>
      <c r="L9" s="43" t="s">
        <v>714</v>
      </c>
      <c r="M9" s="43" t="s">
        <v>769</v>
      </c>
      <c r="N9" s="43" t="s">
        <v>832</v>
      </c>
      <c r="O9" s="43" t="s">
        <v>866</v>
      </c>
      <c r="P9" s="43" t="s">
        <v>897</v>
      </c>
      <c r="Q9" s="43" t="s">
        <v>912</v>
      </c>
      <c r="R9" s="43" t="s">
        <v>932</v>
      </c>
      <c r="S9" s="43" t="s">
        <v>949</v>
      </c>
      <c r="T9" s="43" t="s">
        <v>976</v>
      </c>
      <c r="U9" s="43" t="s">
        <v>1051</v>
      </c>
      <c r="V9" s="43" t="s">
        <v>1093</v>
      </c>
      <c r="W9" s="43" t="s">
        <v>1127</v>
      </c>
      <c r="X9" s="43" t="s">
        <v>1181</v>
      </c>
      <c r="Y9" s="43" t="s">
        <v>1209</v>
      </c>
      <c r="Z9" s="43" t="s">
        <v>1229</v>
      </c>
      <c r="AA9" s="43" t="s">
        <v>1256</v>
      </c>
      <c r="AB9" s="43" t="s">
        <v>1300</v>
      </c>
      <c r="AC9" s="43" t="s">
        <v>1341</v>
      </c>
      <c r="AD9" s="43" t="s">
        <v>1379</v>
      </c>
      <c r="AE9" s="43" t="s">
        <v>1408</v>
      </c>
      <c r="AF9" s="43" t="s">
        <v>1426</v>
      </c>
      <c r="AG9" s="43" t="s">
        <v>1445</v>
      </c>
      <c r="AH9" s="43" t="s">
        <v>791</v>
      </c>
      <c r="AI9" s="43" t="s">
        <v>1496</v>
      </c>
      <c r="AJ9" s="43" t="s">
        <v>1516</v>
      </c>
      <c r="AK9" s="43" t="s">
        <v>1541</v>
      </c>
      <c r="AL9" s="43" t="s">
        <v>1559</v>
      </c>
      <c r="AM9" s="43" t="s">
        <v>1579</v>
      </c>
      <c r="AN9" s="43" t="s">
        <v>1614</v>
      </c>
      <c r="AO9" s="43" t="s">
        <v>1673</v>
      </c>
      <c r="AP9" s="43" t="s">
        <v>1694</v>
      </c>
      <c r="AQ9" s="43" t="s">
        <v>1716</v>
      </c>
      <c r="AR9" s="43" t="s">
        <v>1759</v>
      </c>
      <c r="AS9" s="43" t="s">
        <v>1778</v>
      </c>
      <c r="AT9" s="43" t="s">
        <v>1804</v>
      </c>
      <c r="AU9" s="43" t="s">
        <v>1848</v>
      </c>
    </row>
    <row r="10" spans="1:47" x14ac:dyDescent="0.45">
      <c r="A10" s="43" t="s">
        <v>129</v>
      </c>
      <c r="B10" s="43" t="s">
        <v>315</v>
      </c>
      <c r="C10" s="43" t="s">
        <v>356</v>
      </c>
      <c r="D10" s="43" t="s">
        <v>390</v>
      </c>
      <c r="E10" s="43" t="s">
        <v>426</v>
      </c>
      <c r="F10" s="43" t="s">
        <v>452</v>
      </c>
      <c r="G10" s="43" t="s">
        <v>488</v>
      </c>
      <c r="H10" s="43" t="s">
        <v>546</v>
      </c>
      <c r="I10" s="43" t="s">
        <v>591</v>
      </c>
      <c r="J10" s="43" t="s">
        <v>617</v>
      </c>
      <c r="K10" s="43" t="s">
        <v>652</v>
      </c>
      <c r="L10" s="43" t="s">
        <v>715</v>
      </c>
      <c r="M10" s="43" t="s">
        <v>770</v>
      </c>
      <c r="N10" s="43" t="s">
        <v>833</v>
      </c>
      <c r="O10" s="43" t="s">
        <v>867</v>
      </c>
      <c r="P10" s="43" t="s">
        <v>898</v>
      </c>
      <c r="Q10" s="43" t="s">
        <v>913</v>
      </c>
      <c r="R10" s="43" t="s">
        <v>933</v>
      </c>
      <c r="S10" s="43" t="s">
        <v>950</v>
      </c>
      <c r="T10" s="43" t="s">
        <v>977</v>
      </c>
      <c r="U10" s="43" t="s">
        <v>1052</v>
      </c>
      <c r="V10" s="43" t="s">
        <v>1094</v>
      </c>
      <c r="W10" s="43" t="s">
        <v>1128</v>
      </c>
      <c r="X10" s="43" t="s">
        <v>1182</v>
      </c>
      <c r="Y10" s="43" t="s">
        <v>1210</v>
      </c>
      <c r="Z10" s="43" t="s">
        <v>1230</v>
      </c>
      <c r="AA10" s="43" t="s">
        <v>1257</v>
      </c>
      <c r="AB10" s="43" t="s">
        <v>1301</v>
      </c>
      <c r="AC10" s="43" t="s">
        <v>1342</v>
      </c>
      <c r="AD10" s="43" t="s">
        <v>1380</v>
      </c>
      <c r="AE10" s="43" t="s">
        <v>1409</v>
      </c>
      <c r="AF10" s="43" t="s">
        <v>1427</v>
      </c>
      <c r="AG10" s="43" t="s">
        <v>1446</v>
      </c>
      <c r="AH10" s="43" t="s">
        <v>1473</v>
      </c>
      <c r="AI10" s="43" t="s">
        <v>1497</v>
      </c>
      <c r="AJ10" s="43" t="s">
        <v>1517</v>
      </c>
      <c r="AK10" s="43" t="s">
        <v>1542</v>
      </c>
      <c r="AL10" s="43" t="s">
        <v>1560</v>
      </c>
      <c r="AM10" s="43" t="s">
        <v>1580</v>
      </c>
      <c r="AN10" s="43" t="s">
        <v>1615</v>
      </c>
      <c r="AO10" s="43" t="s">
        <v>1674</v>
      </c>
      <c r="AP10" s="43" t="s">
        <v>1695</v>
      </c>
      <c r="AQ10" s="43" t="s">
        <v>1717</v>
      </c>
      <c r="AR10" s="43" t="s">
        <v>1760</v>
      </c>
      <c r="AS10" s="43" t="s">
        <v>1779</v>
      </c>
      <c r="AT10" s="43" t="s">
        <v>1805</v>
      </c>
      <c r="AU10" s="43" t="s">
        <v>1849</v>
      </c>
    </row>
    <row r="11" spans="1:47" x14ac:dyDescent="0.45">
      <c r="A11" s="43" t="s">
        <v>130</v>
      </c>
      <c r="B11" s="43" t="s">
        <v>316</v>
      </c>
      <c r="C11" s="43" t="s">
        <v>357</v>
      </c>
      <c r="D11" s="43" t="s">
        <v>391</v>
      </c>
      <c r="E11" s="43" t="s">
        <v>427</v>
      </c>
      <c r="F11" s="43" t="s">
        <v>453</v>
      </c>
      <c r="G11" s="43" t="s">
        <v>489</v>
      </c>
      <c r="H11" s="43" t="s">
        <v>547</v>
      </c>
      <c r="I11" s="43" t="s">
        <v>592</v>
      </c>
      <c r="J11" s="43" t="s">
        <v>618</v>
      </c>
      <c r="K11" s="43" t="s">
        <v>653</v>
      </c>
      <c r="L11" s="43" t="s">
        <v>716</v>
      </c>
      <c r="M11" s="43" t="s">
        <v>771</v>
      </c>
      <c r="N11" s="43" t="s">
        <v>834</v>
      </c>
      <c r="O11" s="43" t="s">
        <v>868</v>
      </c>
      <c r="P11" s="43" t="s">
        <v>899</v>
      </c>
      <c r="Q11" s="43" t="s">
        <v>914</v>
      </c>
      <c r="R11" s="43" t="s">
        <v>934</v>
      </c>
      <c r="S11" s="43" t="s">
        <v>951</v>
      </c>
      <c r="T11" s="43" t="s">
        <v>978</v>
      </c>
      <c r="U11" s="43" t="s">
        <v>1053</v>
      </c>
      <c r="V11" s="43" t="s">
        <v>1095</v>
      </c>
      <c r="W11" s="43" t="s">
        <v>1129</v>
      </c>
      <c r="X11" s="43" t="s">
        <v>1183</v>
      </c>
      <c r="Y11" s="43" t="s">
        <v>1211</v>
      </c>
      <c r="Z11" s="43" t="s">
        <v>1231</v>
      </c>
      <c r="AA11" s="43" t="s">
        <v>1258</v>
      </c>
      <c r="AB11" s="43" t="s">
        <v>1302</v>
      </c>
      <c r="AC11" s="43" t="s">
        <v>1343</v>
      </c>
      <c r="AD11" s="43" t="s">
        <v>1381</v>
      </c>
      <c r="AE11" s="43" t="s">
        <v>1410</v>
      </c>
      <c r="AF11" s="43" t="s">
        <v>1428</v>
      </c>
      <c r="AG11" s="43" t="s">
        <v>1447</v>
      </c>
      <c r="AH11" s="43" t="s">
        <v>1474</v>
      </c>
      <c r="AI11" s="43" t="s">
        <v>1498</v>
      </c>
      <c r="AJ11" s="43" t="s">
        <v>1518</v>
      </c>
      <c r="AK11" s="43" t="s">
        <v>1543</v>
      </c>
      <c r="AL11" s="43" t="s">
        <v>1561</v>
      </c>
      <c r="AM11" s="43" t="s">
        <v>1581</v>
      </c>
      <c r="AN11" s="43" t="s">
        <v>1616</v>
      </c>
      <c r="AO11" s="43" t="s">
        <v>1675</v>
      </c>
      <c r="AP11" s="43" t="s">
        <v>1696</v>
      </c>
      <c r="AQ11" s="43" t="s">
        <v>1718</v>
      </c>
      <c r="AR11" s="43" t="s">
        <v>1761</v>
      </c>
      <c r="AS11" s="43" t="s">
        <v>1780</v>
      </c>
      <c r="AT11" s="43" t="s">
        <v>1806</v>
      </c>
      <c r="AU11" s="43" t="s">
        <v>1850</v>
      </c>
    </row>
    <row r="12" spans="1:47" x14ac:dyDescent="0.45">
      <c r="A12" s="43" t="s">
        <v>131</v>
      </c>
      <c r="B12" s="43" t="s">
        <v>317</v>
      </c>
      <c r="C12" s="43" t="s">
        <v>358</v>
      </c>
      <c r="D12" s="43" t="s">
        <v>392</v>
      </c>
      <c r="E12" s="43" t="s">
        <v>428</v>
      </c>
      <c r="F12" s="43" t="s">
        <v>454</v>
      </c>
      <c r="G12" s="43" t="s">
        <v>490</v>
      </c>
      <c r="H12" s="43" t="s">
        <v>548</v>
      </c>
      <c r="I12" s="43" t="s">
        <v>593</v>
      </c>
      <c r="J12" s="43" t="s">
        <v>619</v>
      </c>
      <c r="K12" s="43" t="s">
        <v>654</v>
      </c>
      <c r="L12" s="43" t="s">
        <v>717</v>
      </c>
      <c r="M12" s="43" t="s">
        <v>772</v>
      </c>
      <c r="N12" s="43" t="s">
        <v>835</v>
      </c>
      <c r="O12" s="43" t="s">
        <v>869</v>
      </c>
      <c r="P12" s="43" t="s">
        <v>900</v>
      </c>
      <c r="Q12" s="43" t="s">
        <v>915</v>
      </c>
      <c r="R12" s="43" t="s">
        <v>935</v>
      </c>
      <c r="S12" s="43" t="s">
        <v>952</v>
      </c>
      <c r="T12" s="43" t="s">
        <v>979</v>
      </c>
      <c r="U12" s="43" t="s">
        <v>1054</v>
      </c>
      <c r="V12" s="43" t="s">
        <v>1096</v>
      </c>
      <c r="W12" s="43" t="s">
        <v>1130</v>
      </c>
      <c r="X12" s="43" t="s">
        <v>1184</v>
      </c>
      <c r="Y12" s="43" t="s">
        <v>1212</v>
      </c>
      <c r="Z12" s="43" t="s">
        <v>1232</v>
      </c>
      <c r="AA12" s="43" t="s">
        <v>1259</v>
      </c>
      <c r="AB12" s="43" t="s">
        <v>1303</v>
      </c>
      <c r="AC12" s="43" t="s">
        <v>1344</v>
      </c>
      <c r="AD12" s="43" t="s">
        <v>1382</v>
      </c>
      <c r="AE12" s="43" t="s">
        <v>1411</v>
      </c>
      <c r="AF12" s="43" t="s">
        <v>1429</v>
      </c>
      <c r="AG12" s="43" t="s">
        <v>1448</v>
      </c>
      <c r="AH12" s="43" t="s">
        <v>1475</v>
      </c>
      <c r="AI12" s="43" t="s">
        <v>1499</v>
      </c>
      <c r="AJ12" s="43" t="s">
        <v>1519</v>
      </c>
      <c r="AK12" s="43" t="s">
        <v>1544</v>
      </c>
      <c r="AL12" s="43" t="s">
        <v>1562</v>
      </c>
      <c r="AM12" s="43" t="s">
        <v>1582</v>
      </c>
      <c r="AN12" s="43" t="s">
        <v>1617</v>
      </c>
      <c r="AO12" s="43" t="s">
        <v>1676</v>
      </c>
      <c r="AP12" s="43" t="s">
        <v>1697</v>
      </c>
      <c r="AQ12" s="43" t="s">
        <v>1719</v>
      </c>
      <c r="AR12" s="43" t="s">
        <v>1762</v>
      </c>
      <c r="AS12" s="43" t="s">
        <v>1781</v>
      </c>
      <c r="AT12" s="43" t="s">
        <v>1807</v>
      </c>
      <c r="AU12" s="43" t="s">
        <v>1851</v>
      </c>
    </row>
    <row r="13" spans="1:47" x14ac:dyDescent="0.45">
      <c r="A13" s="43" t="s">
        <v>132</v>
      </c>
      <c r="B13" s="43" t="s">
        <v>318</v>
      </c>
      <c r="C13" s="43" t="s">
        <v>359</v>
      </c>
      <c r="D13" s="43" t="s">
        <v>393</v>
      </c>
      <c r="E13" s="43" t="s">
        <v>429</v>
      </c>
      <c r="F13" s="43" t="s">
        <v>455</v>
      </c>
      <c r="G13" s="43" t="s">
        <v>491</v>
      </c>
      <c r="H13" s="43" t="s">
        <v>549</v>
      </c>
      <c r="I13" s="43" t="s">
        <v>594</v>
      </c>
      <c r="J13" s="43" t="s">
        <v>620</v>
      </c>
      <c r="K13" s="43" t="s">
        <v>655</v>
      </c>
      <c r="L13" s="43" t="s">
        <v>718</v>
      </c>
      <c r="M13" s="43" t="s">
        <v>773</v>
      </c>
      <c r="N13" s="43" t="s">
        <v>836</v>
      </c>
      <c r="O13" s="43" t="s">
        <v>870</v>
      </c>
      <c r="P13" s="43" t="s">
        <v>901</v>
      </c>
      <c r="Q13" s="43" t="s">
        <v>916</v>
      </c>
      <c r="R13" s="43" t="s">
        <v>284</v>
      </c>
      <c r="S13" s="43" t="s">
        <v>953</v>
      </c>
      <c r="T13" s="43" t="s">
        <v>980</v>
      </c>
      <c r="U13" s="43" t="s">
        <v>1055</v>
      </c>
      <c r="V13" s="43" t="s">
        <v>1097</v>
      </c>
      <c r="W13" s="43" t="s">
        <v>1131</v>
      </c>
      <c r="X13" s="43" t="s">
        <v>1185</v>
      </c>
      <c r="Y13" s="43" t="s">
        <v>1213</v>
      </c>
      <c r="Z13" s="43" t="s">
        <v>1233</v>
      </c>
      <c r="AA13" s="43" t="s">
        <v>1260</v>
      </c>
      <c r="AB13" s="43" t="s">
        <v>1304</v>
      </c>
      <c r="AC13" s="43" t="s">
        <v>1345</v>
      </c>
      <c r="AD13" s="43" t="s">
        <v>1383</v>
      </c>
      <c r="AE13" s="43" t="s">
        <v>1412</v>
      </c>
      <c r="AF13" s="43" t="s">
        <v>1430</v>
      </c>
      <c r="AG13" s="43" t="s">
        <v>1449</v>
      </c>
      <c r="AH13" s="43" t="s">
        <v>1476</v>
      </c>
      <c r="AI13" s="43" t="s">
        <v>1500</v>
      </c>
      <c r="AJ13" s="43" t="s">
        <v>1520</v>
      </c>
      <c r="AK13" s="43" t="s">
        <v>1545</v>
      </c>
      <c r="AL13" s="43" t="s">
        <v>1563</v>
      </c>
      <c r="AM13" s="43" t="s">
        <v>1583</v>
      </c>
      <c r="AN13" s="43" t="s">
        <v>1618</v>
      </c>
      <c r="AO13" s="43" t="s">
        <v>1677</v>
      </c>
      <c r="AP13" s="43" t="s">
        <v>1698</v>
      </c>
      <c r="AQ13" s="43" t="s">
        <v>1720</v>
      </c>
      <c r="AR13" s="43" t="s">
        <v>1763</v>
      </c>
      <c r="AS13" s="43" t="s">
        <v>1782</v>
      </c>
      <c r="AT13" s="43" t="s">
        <v>1808</v>
      </c>
      <c r="AU13" s="43" t="s">
        <v>1852</v>
      </c>
    </row>
    <row r="14" spans="1:47" x14ac:dyDescent="0.45">
      <c r="A14" s="43" t="s">
        <v>133</v>
      </c>
      <c r="B14" s="43" t="s">
        <v>319</v>
      </c>
      <c r="C14" s="43" t="s">
        <v>360</v>
      </c>
      <c r="D14" s="43" t="s">
        <v>394</v>
      </c>
      <c r="E14" s="43" t="s">
        <v>430</v>
      </c>
      <c r="F14" s="43" t="s">
        <v>456</v>
      </c>
      <c r="G14" s="43" t="s">
        <v>153</v>
      </c>
      <c r="H14" s="43" t="s">
        <v>550</v>
      </c>
      <c r="I14" s="43" t="s">
        <v>595</v>
      </c>
      <c r="J14" s="43" t="s">
        <v>621</v>
      </c>
      <c r="K14" s="43" t="s">
        <v>656</v>
      </c>
      <c r="L14" s="43" t="s">
        <v>719</v>
      </c>
      <c r="M14" s="43" t="s">
        <v>774</v>
      </c>
      <c r="N14" s="43" t="s">
        <v>837</v>
      </c>
      <c r="O14" s="43" t="s">
        <v>871</v>
      </c>
      <c r="P14" s="43" t="s">
        <v>902</v>
      </c>
      <c r="Q14" s="43" t="s">
        <v>917</v>
      </c>
      <c r="R14" s="43" t="s">
        <v>936</v>
      </c>
      <c r="S14" s="43" t="s">
        <v>954</v>
      </c>
      <c r="T14" s="43" t="s">
        <v>981</v>
      </c>
      <c r="U14" s="43" t="s">
        <v>1056</v>
      </c>
      <c r="V14" s="43" t="s">
        <v>1098</v>
      </c>
      <c r="W14" s="43" t="s">
        <v>1132</v>
      </c>
      <c r="X14" s="43" t="s">
        <v>1186</v>
      </c>
      <c r="Y14" s="43" t="s">
        <v>1214</v>
      </c>
      <c r="Z14" s="43" t="s">
        <v>1234</v>
      </c>
      <c r="AA14" s="43" t="s">
        <v>1261</v>
      </c>
      <c r="AB14" s="43" t="s">
        <v>1305</v>
      </c>
      <c r="AC14" s="43" t="s">
        <v>1346</v>
      </c>
      <c r="AD14" s="43" t="s">
        <v>1384</v>
      </c>
      <c r="AE14" s="43" t="s">
        <v>1413</v>
      </c>
      <c r="AF14" s="43" t="s">
        <v>441</v>
      </c>
      <c r="AG14" s="43" t="s">
        <v>1450</v>
      </c>
      <c r="AH14" s="43" t="s">
        <v>1477</v>
      </c>
      <c r="AI14" s="43" t="s">
        <v>1501</v>
      </c>
      <c r="AJ14" s="43" t="s">
        <v>1521</v>
      </c>
      <c r="AK14" s="43" t="s">
        <v>1546</v>
      </c>
      <c r="AL14" s="43" t="s">
        <v>1564</v>
      </c>
      <c r="AM14" s="43" t="s">
        <v>1584</v>
      </c>
      <c r="AN14" s="43" t="s">
        <v>1619</v>
      </c>
      <c r="AO14" s="43" t="s">
        <v>1678</v>
      </c>
      <c r="AP14" s="43" t="s">
        <v>1699</v>
      </c>
      <c r="AQ14" s="43" t="s">
        <v>1721</v>
      </c>
      <c r="AR14" s="43" t="s">
        <v>1764</v>
      </c>
      <c r="AS14" s="43" t="s">
        <v>1783</v>
      </c>
      <c r="AT14" s="43" t="s">
        <v>1809</v>
      </c>
      <c r="AU14" s="43" t="s">
        <v>1853</v>
      </c>
    </row>
    <row r="15" spans="1:47" x14ac:dyDescent="0.45">
      <c r="A15" s="43" t="s">
        <v>134</v>
      </c>
      <c r="B15" s="43" t="s">
        <v>320</v>
      </c>
      <c r="C15" s="43" t="s">
        <v>361</v>
      </c>
      <c r="D15" s="43" t="s">
        <v>395</v>
      </c>
      <c r="E15" s="43" t="s">
        <v>431</v>
      </c>
      <c r="F15" s="43" t="s">
        <v>457</v>
      </c>
      <c r="G15" s="43" t="s">
        <v>492</v>
      </c>
      <c r="H15" s="43" t="s">
        <v>551</v>
      </c>
      <c r="I15" s="43" t="s">
        <v>596</v>
      </c>
      <c r="J15" s="43" t="s">
        <v>622</v>
      </c>
      <c r="K15" s="43" t="s">
        <v>657</v>
      </c>
      <c r="L15" s="43" t="s">
        <v>720</v>
      </c>
      <c r="M15" s="43" t="s">
        <v>775</v>
      </c>
      <c r="N15" s="43" t="s">
        <v>838</v>
      </c>
      <c r="O15" s="43" t="s">
        <v>872</v>
      </c>
      <c r="P15" s="43" t="s">
        <v>903</v>
      </c>
      <c r="Q15" s="43" t="s">
        <v>918</v>
      </c>
      <c r="R15" s="43" t="s">
        <v>937</v>
      </c>
      <c r="S15" s="43" t="s">
        <v>955</v>
      </c>
      <c r="T15" s="43" t="s">
        <v>982</v>
      </c>
      <c r="U15" s="43" t="s">
        <v>1057</v>
      </c>
      <c r="V15" s="43" t="s">
        <v>1099</v>
      </c>
      <c r="W15" s="43" t="s">
        <v>1133</v>
      </c>
      <c r="X15" s="43" t="s">
        <v>1187</v>
      </c>
      <c r="Y15" s="43" t="s">
        <v>1215</v>
      </c>
      <c r="Z15" s="43" t="s">
        <v>1235</v>
      </c>
      <c r="AA15" s="43" t="s">
        <v>1262</v>
      </c>
      <c r="AB15" s="43" t="s">
        <v>1306</v>
      </c>
      <c r="AC15" s="43" t="s">
        <v>1347</v>
      </c>
      <c r="AD15" s="43" t="s">
        <v>1385</v>
      </c>
      <c r="AE15" s="43" t="s">
        <v>1414</v>
      </c>
      <c r="AF15" s="43" t="s">
        <v>1431</v>
      </c>
      <c r="AG15" s="43" t="s">
        <v>1451</v>
      </c>
      <c r="AH15" s="43" t="s">
        <v>1478</v>
      </c>
      <c r="AI15" s="43" t="s">
        <v>1502</v>
      </c>
      <c r="AJ15" s="43" t="s">
        <v>1522</v>
      </c>
      <c r="AK15" s="43" t="s">
        <v>1547</v>
      </c>
      <c r="AL15" s="43" t="s">
        <v>1565</v>
      </c>
      <c r="AM15" s="43" t="s">
        <v>1585</v>
      </c>
      <c r="AN15" s="43" t="s">
        <v>1620</v>
      </c>
      <c r="AO15" s="43" t="s">
        <v>1679</v>
      </c>
      <c r="AP15" s="43" t="s">
        <v>1700</v>
      </c>
      <c r="AQ15" s="43" t="s">
        <v>1722</v>
      </c>
      <c r="AR15" s="43" t="s">
        <v>1765</v>
      </c>
      <c r="AS15" s="43" t="s">
        <v>1784</v>
      </c>
      <c r="AT15" s="43" t="s">
        <v>1810</v>
      </c>
      <c r="AU15" s="43" t="s">
        <v>1854</v>
      </c>
    </row>
    <row r="16" spans="1:47" x14ac:dyDescent="0.45">
      <c r="A16" s="43" t="s">
        <v>135</v>
      </c>
      <c r="B16" s="43" t="s">
        <v>321</v>
      </c>
      <c r="C16" s="43" t="s">
        <v>362</v>
      </c>
      <c r="D16" s="43" t="s">
        <v>396</v>
      </c>
      <c r="E16" s="43" t="s">
        <v>432</v>
      </c>
      <c r="F16" s="43" t="s">
        <v>458</v>
      </c>
      <c r="G16" s="43" t="s">
        <v>493</v>
      </c>
      <c r="H16" s="43" t="s">
        <v>552</v>
      </c>
      <c r="I16" s="43" t="s">
        <v>597</v>
      </c>
      <c r="J16" s="43" t="s">
        <v>623</v>
      </c>
      <c r="K16" s="43" t="s">
        <v>658</v>
      </c>
      <c r="L16" s="43" t="s">
        <v>721</v>
      </c>
      <c r="M16" s="43" t="s">
        <v>776</v>
      </c>
      <c r="N16" s="43" t="s">
        <v>839</v>
      </c>
      <c r="O16" s="43" t="s">
        <v>873</v>
      </c>
      <c r="P16" s="43" t="s">
        <v>904</v>
      </c>
      <c r="Q16" s="43" t="s">
        <v>919</v>
      </c>
      <c r="R16" s="43" t="s">
        <v>938</v>
      </c>
      <c r="S16" s="43" t="s">
        <v>956</v>
      </c>
      <c r="T16" s="43" t="s">
        <v>983</v>
      </c>
      <c r="U16" s="43" t="s">
        <v>1058</v>
      </c>
      <c r="V16" s="43" t="s">
        <v>1100</v>
      </c>
      <c r="W16" s="43" t="s">
        <v>1134</v>
      </c>
      <c r="X16" s="43" t="s">
        <v>1188</v>
      </c>
      <c r="Y16" s="43" t="s">
        <v>1216</v>
      </c>
      <c r="Z16" s="43" t="s">
        <v>1236</v>
      </c>
      <c r="AA16" s="43" t="s">
        <v>1263</v>
      </c>
      <c r="AB16" s="43" t="s">
        <v>1307</v>
      </c>
      <c r="AC16" s="43" t="s">
        <v>1348</v>
      </c>
      <c r="AD16" s="43" t="s">
        <v>1386</v>
      </c>
      <c r="AE16" s="43" t="s">
        <v>1415</v>
      </c>
      <c r="AF16" s="43" t="s">
        <v>1432</v>
      </c>
      <c r="AG16" s="43" t="s">
        <v>1452</v>
      </c>
      <c r="AH16" s="43" t="s">
        <v>1479</v>
      </c>
      <c r="AI16" s="43" t="s">
        <v>1503</v>
      </c>
      <c r="AJ16" s="43" t="s">
        <v>1523</v>
      </c>
      <c r="AK16" s="43" t="s">
        <v>1548</v>
      </c>
      <c r="AL16" s="43" t="s">
        <v>159</v>
      </c>
      <c r="AM16" s="43" t="s">
        <v>1586</v>
      </c>
      <c r="AN16" s="43" t="s">
        <v>1621</v>
      </c>
      <c r="AO16" s="43" t="s">
        <v>1680</v>
      </c>
      <c r="AP16" s="43" t="s">
        <v>1701</v>
      </c>
      <c r="AQ16" s="43" t="s">
        <v>1723</v>
      </c>
      <c r="AR16" s="43" t="s">
        <v>1766</v>
      </c>
      <c r="AS16" s="43" t="s">
        <v>1785</v>
      </c>
      <c r="AT16" s="43" t="s">
        <v>1811</v>
      </c>
      <c r="AU16" s="43" t="s">
        <v>1855</v>
      </c>
    </row>
    <row r="17" spans="1:47" x14ac:dyDescent="0.45">
      <c r="A17" s="43" t="s">
        <v>136</v>
      </c>
      <c r="B17" s="43" t="s">
        <v>322</v>
      </c>
      <c r="C17" s="43" t="s">
        <v>363</v>
      </c>
      <c r="D17" s="43" t="s">
        <v>397</v>
      </c>
      <c r="E17" s="43" t="s">
        <v>433</v>
      </c>
      <c r="F17" s="43" t="s">
        <v>459</v>
      </c>
      <c r="G17" s="43" t="s">
        <v>494</v>
      </c>
      <c r="H17" s="43" t="s">
        <v>553</v>
      </c>
      <c r="I17" s="43" t="s">
        <v>598</v>
      </c>
      <c r="J17" s="43" t="s">
        <v>624</v>
      </c>
      <c r="K17" s="43" t="s">
        <v>659</v>
      </c>
      <c r="L17" s="43" t="s">
        <v>722</v>
      </c>
      <c r="M17" s="43" t="s">
        <v>777</v>
      </c>
      <c r="N17" s="43" t="s">
        <v>840</v>
      </c>
      <c r="O17" s="43" t="s">
        <v>874</v>
      </c>
      <c r="P17" s="43" t="s">
        <v>462</v>
      </c>
      <c r="Q17" s="43" t="s">
        <v>920</v>
      </c>
      <c r="R17" s="43" t="s">
        <v>939</v>
      </c>
      <c r="S17" s="43" t="s">
        <v>957</v>
      </c>
      <c r="T17" s="43" t="s">
        <v>984</v>
      </c>
      <c r="U17" s="43" t="s">
        <v>1059</v>
      </c>
      <c r="V17" s="43" t="s">
        <v>1101</v>
      </c>
      <c r="W17" s="43" t="s">
        <v>1135</v>
      </c>
      <c r="X17" s="43" t="s">
        <v>1189</v>
      </c>
      <c r="Y17" s="43" t="s">
        <v>1217</v>
      </c>
      <c r="Z17" s="43" t="s">
        <v>1237</v>
      </c>
      <c r="AA17" s="43" t="s">
        <v>1264</v>
      </c>
      <c r="AB17" s="43" t="s">
        <v>1308</v>
      </c>
      <c r="AC17" s="43" t="s">
        <v>1349</v>
      </c>
      <c r="AD17" s="43" t="s">
        <v>1387</v>
      </c>
      <c r="AE17" s="43" t="s">
        <v>345</v>
      </c>
      <c r="AF17" s="43" t="s">
        <v>1433</v>
      </c>
      <c r="AG17" s="43" t="s">
        <v>1453</v>
      </c>
      <c r="AH17" s="43" t="s">
        <v>1480</v>
      </c>
      <c r="AI17" s="43" t="s">
        <v>1504</v>
      </c>
      <c r="AJ17" s="43" t="s">
        <v>1524</v>
      </c>
      <c r="AK17" s="43" t="s">
        <v>1549</v>
      </c>
      <c r="AL17" s="43" t="s">
        <v>1566</v>
      </c>
      <c r="AM17" s="43" t="s">
        <v>1587</v>
      </c>
      <c r="AN17" s="43" t="s">
        <v>1622</v>
      </c>
      <c r="AO17" s="43" t="s">
        <v>1681</v>
      </c>
      <c r="AP17" s="43" t="s">
        <v>1702</v>
      </c>
      <c r="AQ17" s="43" t="s">
        <v>415</v>
      </c>
      <c r="AR17" s="43" t="s">
        <v>1767</v>
      </c>
      <c r="AS17" s="43" t="s">
        <v>1786</v>
      </c>
      <c r="AT17" s="43" t="s">
        <v>1812</v>
      </c>
      <c r="AU17" s="43" t="s">
        <v>1856</v>
      </c>
    </row>
    <row r="18" spans="1:47" x14ac:dyDescent="0.45">
      <c r="A18" s="43" t="s">
        <v>137</v>
      </c>
      <c r="B18" s="43" t="s">
        <v>323</v>
      </c>
      <c r="C18" s="43" t="s">
        <v>364</v>
      </c>
      <c r="D18" s="43" t="s">
        <v>398</v>
      </c>
      <c r="E18" s="43" t="s">
        <v>434</v>
      </c>
      <c r="F18" s="43" t="s">
        <v>460</v>
      </c>
      <c r="G18" s="43" t="s">
        <v>495</v>
      </c>
      <c r="H18" s="43" t="s">
        <v>554</v>
      </c>
      <c r="I18" s="43" t="s">
        <v>599</v>
      </c>
      <c r="J18" s="43" t="s">
        <v>625</v>
      </c>
      <c r="K18" s="43" t="s">
        <v>660</v>
      </c>
      <c r="L18" s="43" t="s">
        <v>723</v>
      </c>
      <c r="M18" s="43" t="s">
        <v>778</v>
      </c>
      <c r="N18" s="43" t="s">
        <v>841</v>
      </c>
      <c r="O18" s="43" t="s">
        <v>875</v>
      </c>
      <c r="Q18" s="43" t="s">
        <v>921</v>
      </c>
      <c r="R18" s="43" t="s">
        <v>940</v>
      </c>
      <c r="S18" s="43" t="s">
        <v>958</v>
      </c>
      <c r="T18" s="43" t="s">
        <v>985</v>
      </c>
      <c r="U18" s="43" t="s">
        <v>1060</v>
      </c>
      <c r="V18" s="43" t="s">
        <v>1102</v>
      </c>
      <c r="W18" s="43" t="s">
        <v>1136</v>
      </c>
      <c r="X18" s="43" t="s">
        <v>1190</v>
      </c>
      <c r="Y18" s="43" t="s">
        <v>1218</v>
      </c>
      <c r="Z18" s="43" t="s">
        <v>1238</v>
      </c>
      <c r="AA18" s="43" t="s">
        <v>1265</v>
      </c>
      <c r="AB18" s="43" t="s">
        <v>1309</v>
      </c>
      <c r="AC18" s="43" t="s">
        <v>1350</v>
      </c>
      <c r="AD18" s="43" t="s">
        <v>1388</v>
      </c>
      <c r="AE18" s="43" t="s">
        <v>1416</v>
      </c>
      <c r="AF18" s="43" t="s">
        <v>1434</v>
      </c>
      <c r="AG18" s="43" t="s">
        <v>1454</v>
      </c>
      <c r="AH18" s="43" t="s">
        <v>1481</v>
      </c>
      <c r="AI18" s="43" t="s">
        <v>1505</v>
      </c>
      <c r="AJ18" s="43" t="s">
        <v>1525</v>
      </c>
      <c r="AK18" s="43" t="s">
        <v>1550</v>
      </c>
      <c r="AL18" s="43" t="s">
        <v>1567</v>
      </c>
      <c r="AM18" s="43" t="s">
        <v>1588</v>
      </c>
      <c r="AN18" s="43" t="s">
        <v>1623</v>
      </c>
      <c r="AO18" s="43" t="s">
        <v>1682</v>
      </c>
      <c r="AP18" s="43" t="s">
        <v>1703</v>
      </c>
      <c r="AQ18" s="43" t="s">
        <v>1724</v>
      </c>
      <c r="AR18" s="43" t="s">
        <v>1768</v>
      </c>
      <c r="AS18" s="43" t="s">
        <v>1787</v>
      </c>
      <c r="AT18" s="43" t="s">
        <v>1813</v>
      </c>
      <c r="AU18" s="43" t="s">
        <v>1857</v>
      </c>
    </row>
    <row r="19" spans="1:47" x14ac:dyDescent="0.45">
      <c r="A19" s="43" t="s">
        <v>138</v>
      </c>
      <c r="B19" s="43" t="s">
        <v>324</v>
      </c>
      <c r="C19" s="43" t="s">
        <v>365</v>
      </c>
      <c r="D19" s="43" t="s">
        <v>399</v>
      </c>
      <c r="E19" s="43" t="s">
        <v>435</v>
      </c>
      <c r="F19" s="43" t="s">
        <v>461</v>
      </c>
      <c r="G19" s="43" t="s">
        <v>496</v>
      </c>
      <c r="H19" s="43" t="s">
        <v>555</v>
      </c>
      <c r="I19" s="43" t="s">
        <v>600</v>
      </c>
      <c r="J19" s="43" t="s">
        <v>626</v>
      </c>
      <c r="K19" s="43" t="s">
        <v>661</v>
      </c>
      <c r="L19" s="43" t="s">
        <v>724</v>
      </c>
      <c r="M19" s="43" t="s">
        <v>779</v>
      </c>
      <c r="N19" s="43" t="s">
        <v>842</v>
      </c>
      <c r="O19" s="43" t="s">
        <v>876</v>
      </c>
      <c r="Q19" s="43" t="s">
        <v>922</v>
      </c>
      <c r="R19" s="43" t="s">
        <v>941</v>
      </c>
      <c r="S19" s="43" t="s">
        <v>345</v>
      </c>
      <c r="T19" s="43" t="s">
        <v>986</v>
      </c>
      <c r="U19" s="43" t="s">
        <v>1061</v>
      </c>
      <c r="V19" s="43" t="s">
        <v>1103</v>
      </c>
      <c r="W19" s="43" t="s">
        <v>1137</v>
      </c>
      <c r="X19" s="43" t="s">
        <v>1191</v>
      </c>
      <c r="Y19" s="43" t="s">
        <v>1219</v>
      </c>
      <c r="Z19" s="43" t="s">
        <v>1239</v>
      </c>
      <c r="AA19" s="43" t="s">
        <v>1266</v>
      </c>
      <c r="AB19" s="43" t="s">
        <v>1310</v>
      </c>
      <c r="AC19" s="43" t="s">
        <v>1351</v>
      </c>
      <c r="AD19" s="43" t="s">
        <v>938</v>
      </c>
      <c r="AE19" s="43" t="s">
        <v>1417</v>
      </c>
      <c r="AF19" s="43" t="s">
        <v>1435</v>
      </c>
      <c r="AG19" s="43" t="s">
        <v>1455</v>
      </c>
      <c r="AH19" s="43" t="s">
        <v>1482</v>
      </c>
      <c r="AI19" s="43" t="s">
        <v>1506</v>
      </c>
      <c r="AJ19" s="43" t="s">
        <v>1526</v>
      </c>
      <c r="AK19" s="43" t="s">
        <v>1551</v>
      </c>
      <c r="AL19" s="43" t="s">
        <v>1568</v>
      </c>
      <c r="AM19" s="43" t="s">
        <v>1589</v>
      </c>
      <c r="AN19" s="43" t="s">
        <v>1624</v>
      </c>
      <c r="AO19" s="43" t="s">
        <v>1683</v>
      </c>
      <c r="AP19" s="43" t="s">
        <v>1704</v>
      </c>
      <c r="AQ19" s="43" t="s">
        <v>1725</v>
      </c>
      <c r="AR19" s="43" t="s">
        <v>1769</v>
      </c>
      <c r="AS19" s="43" t="s">
        <v>1788</v>
      </c>
      <c r="AT19" s="43" t="s">
        <v>1814</v>
      </c>
      <c r="AU19" s="43" t="s">
        <v>1858</v>
      </c>
    </row>
    <row r="20" spans="1:47" x14ac:dyDescent="0.45">
      <c r="A20" s="43" t="s">
        <v>139</v>
      </c>
      <c r="B20" s="43" t="s">
        <v>325</v>
      </c>
      <c r="C20" s="43" t="s">
        <v>366</v>
      </c>
      <c r="D20" s="43" t="s">
        <v>400</v>
      </c>
      <c r="E20" s="43" t="s">
        <v>436</v>
      </c>
      <c r="F20" s="43" t="s">
        <v>462</v>
      </c>
      <c r="G20" s="43" t="s">
        <v>497</v>
      </c>
      <c r="H20" s="43" t="s">
        <v>556</v>
      </c>
      <c r="I20" s="43" t="s">
        <v>601</v>
      </c>
      <c r="J20" s="43" t="s">
        <v>627</v>
      </c>
      <c r="K20" s="43" t="s">
        <v>662</v>
      </c>
      <c r="L20" s="43" t="s">
        <v>725</v>
      </c>
      <c r="M20" s="43" t="s">
        <v>780</v>
      </c>
      <c r="N20" s="43" t="s">
        <v>843</v>
      </c>
      <c r="O20" s="43" t="s">
        <v>877</v>
      </c>
      <c r="Q20" s="43" t="s">
        <v>923</v>
      </c>
      <c r="S20" s="43" t="s">
        <v>959</v>
      </c>
      <c r="T20" s="43" t="s">
        <v>987</v>
      </c>
      <c r="U20" s="43" t="s">
        <v>1062</v>
      </c>
      <c r="V20" s="43" t="s">
        <v>1104</v>
      </c>
      <c r="W20" s="43" t="s">
        <v>1138</v>
      </c>
      <c r="X20" s="43" t="s">
        <v>462</v>
      </c>
      <c r="Y20" s="43" t="s">
        <v>1220</v>
      </c>
      <c r="Z20" s="43" t="s">
        <v>1240</v>
      </c>
      <c r="AA20" s="43" t="s">
        <v>1267</v>
      </c>
      <c r="AB20" s="43" t="s">
        <v>1311</v>
      </c>
      <c r="AC20" s="43" t="s">
        <v>473</v>
      </c>
      <c r="AD20" s="43" t="s">
        <v>265</v>
      </c>
      <c r="AE20" s="43" t="s">
        <v>1216</v>
      </c>
      <c r="AF20" s="43" t="s">
        <v>1436</v>
      </c>
      <c r="AG20" s="43" t="s">
        <v>1456</v>
      </c>
      <c r="AH20" s="43" t="s">
        <v>1483</v>
      </c>
      <c r="AI20" s="43" t="s">
        <v>1507</v>
      </c>
      <c r="AJ20" s="43" t="s">
        <v>1527</v>
      </c>
      <c r="AL20" s="43" t="s">
        <v>1569</v>
      </c>
      <c r="AM20" s="43" t="s">
        <v>1590</v>
      </c>
      <c r="AN20" s="43" t="s">
        <v>1625</v>
      </c>
      <c r="AO20" s="43" t="s">
        <v>1684</v>
      </c>
      <c r="AP20" s="43" t="s">
        <v>1705</v>
      </c>
      <c r="AQ20" s="43" t="s">
        <v>1726</v>
      </c>
      <c r="AR20" s="43" t="s">
        <v>1770</v>
      </c>
      <c r="AS20" s="43" t="s">
        <v>1789</v>
      </c>
      <c r="AT20" s="43" t="s">
        <v>1815</v>
      </c>
      <c r="AU20" s="43" t="s">
        <v>1859</v>
      </c>
    </row>
    <row r="21" spans="1:47" x14ac:dyDescent="0.45">
      <c r="A21" s="43" t="s">
        <v>140</v>
      </c>
      <c r="B21" s="43" t="s">
        <v>326</v>
      </c>
      <c r="C21" s="43" t="s">
        <v>367</v>
      </c>
      <c r="D21" s="43" t="s">
        <v>401</v>
      </c>
      <c r="E21" s="43" t="s">
        <v>437</v>
      </c>
      <c r="F21" s="43" t="s">
        <v>463</v>
      </c>
      <c r="G21" s="43" t="s">
        <v>498</v>
      </c>
      <c r="H21" s="43" t="s">
        <v>557</v>
      </c>
      <c r="I21" s="43" t="s">
        <v>602</v>
      </c>
      <c r="J21" s="43" t="s">
        <v>628</v>
      </c>
      <c r="K21" s="43" t="s">
        <v>663</v>
      </c>
      <c r="L21" s="43" t="s">
        <v>726</v>
      </c>
      <c r="M21" s="43" t="s">
        <v>781</v>
      </c>
      <c r="N21" s="43" t="s">
        <v>844</v>
      </c>
      <c r="O21" s="43" t="s">
        <v>878</v>
      </c>
      <c r="Q21" s="43" t="s">
        <v>924</v>
      </c>
      <c r="S21" s="43" t="s">
        <v>960</v>
      </c>
      <c r="T21" s="43" t="s">
        <v>988</v>
      </c>
      <c r="U21" s="43" t="s">
        <v>1063</v>
      </c>
      <c r="V21" s="43" t="s">
        <v>1105</v>
      </c>
      <c r="W21" s="43" t="s">
        <v>1139</v>
      </c>
      <c r="X21" s="43" t="s">
        <v>1192</v>
      </c>
      <c r="Y21" s="43" t="s">
        <v>1221</v>
      </c>
      <c r="Z21" s="43" t="s">
        <v>1241</v>
      </c>
      <c r="AA21" s="43" t="s">
        <v>1268</v>
      </c>
      <c r="AB21" s="43" t="s">
        <v>1312</v>
      </c>
      <c r="AC21" s="43" t="s">
        <v>1352</v>
      </c>
      <c r="AD21" s="43" t="s">
        <v>1389</v>
      </c>
      <c r="AE21" s="43" t="s">
        <v>1418</v>
      </c>
      <c r="AF21" s="43" t="s">
        <v>1437</v>
      </c>
      <c r="AG21" s="43" t="s">
        <v>1457</v>
      </c>
      <c r="AH21" s="43" t="s">
        <v>1484</v>
      </c>
      <c r="AI21" s="43" t="s">
        <v>1508</v>
      </c>
      <c r="AJ21" s="43" t="s">
        <v>1528</v>
      </c>
      <c r="AL21" s="43" t="s">
        <v>1570</v>
      </c>
      <c r="AM21" s="43" t="s">
        <v>1591</v>
      </c>
      <c r="AN21" s="43" t="s">
        <v>1626</v>
      </c>
      <c r="AO21" s="43" t="s">
        <v>1685</v>
      </c>
      <c r="AP21" s="43" t="s">
        <v>1706</v>
      </c>
      <c r="AQ21" s="43" t="s">
        <v>1727</v>
      </c>
      <c r="AS21" s="43" t="s">
        <v>1790</v>
      </c>
      <c r="AT21" s="43" t="s">
        <v>1816</v>
      </c>
      <c r="AU21" s="43" t="s">
        <v>1860</v>
      </c>
    </row>
    <row r="22" spans="1:47" x14ac:dyDescent="0.45">
      <c r="A22" s="43" t="s">
        <v>141</v>
      </c>
      <c r="B22" s="43" t="s">
        <v>327</v>
      </c>
      <c r="C22" s="43" t="s">
        <v>368</v>
      </c>
      <c r="D22" s="43" t="s">
        <v>402</v>
      </c>
      <c r="E22" s="43" t="s">
        <v>438</v>
      </c>
      <c r="F22" s="43" t="s">
        <v>464</v>
      </c>
      <c r="G22" s="43" t="s">
        <v>499</v>
      </c>
      <c r="H22" s="43" t="s">
        <v>558</v>
      </c>
      <c r="I22" s="43" t="s">
        <v>603</v>
      </c>
      <c r="J22" s="43" t="s">
        <v>629</v>
      </c>
      <c r="K22" s="43" t="s">
        <v>664</v>
      </c>
      <c r="L22" s="43" t="s">
        <v>727</v>
      </c>
      <c r="M22" s="43" t="s">
        <v>782</v>
      </c>
      <c r="N22" s="43" t="s">
        <v>845</v>
      </c>
      <c r="O22" s="43" t="s">
        <v>879</v>
      </c>
      <c r="S22" s="43" t="s">
        <v>961</v>
      </c>
      <c r="T22" s="43" t="s">
        <v>989</v>
      </c>
      <c r="U22" s="43" t="s">
        <v>1064</v>
      </c>
      <c r="V22" s="43" t="s">
        <v>1106</v>
      </c>
      <c r="W22" s="43" t="s">
        <v>1140</v>
      </c>
      <c r="X22" s="43" t="s">
        <v>1193</v>
      </c>
      <c r="Z22" s="43" t="s">
        <v>1242</v>
      </c>
      <c r="AA22" s="43" t="s">
        <v>1269</v>
      </c>
      <c r="AB22" s="43" t="s">
        <v>1313</v>
      </c>
      <c r="AC22" s="43" t="s">
        <v>1353</v>
      </c>
      <c r="AD22" s="43" t="s">
        <v>1390</v>
      </c>
      <c r="AG22" s="43" t="s">
        <v>1458</v>
      </c>
      <c r="AH22" s="43" t="s">
        <v>1485</v>
      </c>
      <c r="AJ22" s="43" t="s">
        <v>1529</v>
      </c>
      <c r="AL22" s="43" t="s">
        <v>1571</v>
      </c>
      <c r="AM22" s="43" t="s">
        <v>1592</v>
      </c>
      <c r="AN22" s="43" t="s">
        <v>1627</v>
      </c>
      <c r="AO22" s="43" t="s">
        <v>1686</v>
      </c>
      <c r="AP22" s="43" t="s">
        <v>1707</v>
      </c>
      <c r="AQ22" s="43" t="s">
        <v>1728</v>
      </c>
      <c r="AS22" s="43" t="s">
        <v>1791</v>
      </c>
      <c r="AT22" s="43" t="s">
        <v>1817</v>
      </c>
      <c r="AU22" s="43" t="s">
        <v>1861</v>
      </c>
    </row>
    <row r="23" spans="1:47" x14ac:dyDescent="0.45">
      <c r="A23" s="43" t="s">
        <v>142</v>
      </c>
      <c r="B23" s="43" t="s">
        <v>328</v>
      </c>
      <c r="C23" s="43" t="s">
        <v>369</v>
      </c>
      <c r="D23" s="43" t="s">
        <v>403</v>
      </c>
      <c r="E23" s="43" t="s">
        <v>439</v>
      </c>
      <c r="F23" s="43" t="s">
        <v>465</v>
      </c>
      <c r="G23" s="43" t="s">
        <v>500</v>
      </c>
      <c r="H23" s="43" t="s">
        <v>559</v>
      </c>
      <c r="I23" s="43" t="s">
        <v>604</v>
      </c>
      <c r="J23" s="43" t="s">
        <v>630</v>
      </c>
      <c r="K23" s="43" t="s">
        <v>665</v>
      </c>
      <c r="L23" s="43" t="s">
        <v>728</v>
      </c>
      <c r="M23" s="43" t="s">
        <v>783</v>
      </c>
      <c r="N23" s="43" t="s">
        <v>846</v>
      </c>
      <c r="O23" s="43" t="s">
        <v>880</v>
      </c>
      <c r="S23" s="43" t="s">
        <v>962</v>
      </c>
      <c r="T23" s="43" t="s">
        <v>990</v>
      </c>
      <c r="U23" s="43" t="s">
        <v>1065</v>
      </c>
      <c r="V23" s="43" t="s">
        <v>1107</v>
      </c>
      <c r="W23" s="43" t="s">
        <v>1141</v>
      </c>
      <c r="X23" s="43" t="s">
        <v>640</v>
      </c>
      <c r="Z23" s="43" t="s">
        <v>1243</v>
      </c>
      <c r="AA23" s="43" t="s">
        <v>1270</v>
      </c>
      <c r="AB23" s="43" t="s">
        <v>1314</v>
      </c>
      <c r="AC23" s="43" t="s">
        <v>1354</v>
      </c>
      <c r="AD23" s="43" t="s">
        <v>1391</v>
      </c>
      <c r="AG23" s="43" t="s">
        <v>1459</v>
      </c>
      <c r="AH23" s="43" t="s">
        <v>1486</v>
      </c>
      <c r="AJ23" s="43" t="s">
        <v>1530</v>
      </c>
      <c r="AM23" s="43" t="s">
        <v>1593</v>
      </c>
      <c r="AN23" s="43" t="s">
        <v>1628</v>
      </c>
      <c r="AP23" s="43" t="s">
        <v>1708</v>
      </c>
      <c r="AQ23" s="43" t="s">
        <v>1729</v>
      </c>
      <c r="AS23" s="43" t="s">
        <v>1792</v>
      </c>
      <c r="AT23" s="43" t="s">
        <v>1818</v>
      </c>
      <c r="AU23" s="43" t="s">
        <v>1862</v>
      </c>
    </row>
    <row r="24" spans="1:47" x14ac:dyDescent="0.45">
      <c r="A24" s="43" t="s">
        <v>143</v>
      </c>
      <c r="B24" s="43" t="s">
        <v>329</v>
      </c>
      <c r="C24" s="43" t="s">
        <v>370</v>
      </c>
      <c r="D24" s="43" t="s">
        <v>404</v>
      </c>
      <c r="E24" s="43" t="s">
        <v>440</v>
      </c>
      <c r="F24" s="43" t="s">
        <v>466</v>
      </c>
      <c r="G24" s="43" t="s">
        <v>501</v>
      </c>
      <c r="H24" s="43" t="s">
        <v>560</v>
      </c>
      <c r="I24" s="43" t="s">
        <v>605</v>
      </c>
      <c r="J24" s="43" t="s">
        <v>631</v>
      </c>
      <c r="K24" s="43" t="s">
        <v>666</v>
      </c>
      <c r="L24" s="43" t="s">
        <v>729</v>
      </c>
      <c r="M24" s="43" t="s">
        <v>784</v>
      </c>
      <c r="N24" s="43" t="s">
        <v>847</v>
      </c>
      <c r="O24" s="43" t="s">
        <v>881</v>
      </c>
      <c r="S24" s="43" t="s">
        <v>963</v>
      </c>
      <c r="T24" s="43" t="s">
        <v>627</v>
      </c>
      <c r="U24" s="43" t="s">
        <v>1066</v>
      </c>
      <c r="V24" s="43" t="s">
        <v>1108</v>
      </c>
      <c r="W24" s="43" t="s">
        <v>1142</v>
      </c>
      <c r="X24" s="43" t="s">
        <v>1194</v>
      </c>
      <c r="Z24" s="43" t="s">
        <v>1244</v>
      </c>
      <c r="AA24" s="43" t="s">
        <v>1271</v>
      </c>
      <c r="AB24" s="43" t="s">
        <v>1315</v>
      </c>
      <c r="AC24" s="43" t="s">
        <v>1355</v>
      </c>
      <c r="AD24" s="43" t="s">
        <v>1392</v>
      </c>
      <c r="AG24" s="43" t="s">
        <v>1460</v>
      </c>
      <c r="AH24" s="43" t="s">
        <v>1487</v>
      </c>
      <c r="AJ24" s="43" t="s">
        <v>1531</v>
      </c>
      <c r="AM24" s="43" t="s">
        <v>1594</v>
      </c>
      <c r="AN24" s="43" t="s">
        <v>1629</v>
      </c>
      <c r="AQ24" s="43" t="s">
        <v>1730</v>
      </c>
      <c r="AS24" s="43" t="s">
        <v>1793</v>
      </c>
      <c r="AT24" s="43" t="s">
        <v>1819</v>
      </c>
      <c r="AU24" s="43" t="s">
        <v>1863</v>
      </c>
    </row>
    <row r="25" spans="1:47" x14ac:dyDescent="0.45">
      <c r="A25" s="43" t="s">
        <v>144</v>
      </c>
      <c r="B25" s="43" t="s">
        <v>330</v>
      </c>
      <c r="C25" s="43" t="s">
        <v>371</v>
      </c>
      <c r="D25" s="43" t="s">
        <v>405</v>
      </c>
      <c r="E25" s="43" t="s">
        <v>441</v>
      </c>
      <c r="F25" s="43" t="s">
        <v>467</v>
      </c>
      <c r="G25" s="43" t="s">
        <v>502</v>
      </c>
      <c r="H25" s="43" t="s">
        <v>561</v>
      </c>
      <c r="I25" s="43" t="s">
        <v>606</v>
      </c>
      <c r="J25" s="43" t="s">
        <v>632</v>
      </c>
      <c r="K25" s="43" t="s">
        <v>667</v>
      </c>
      <c r="L25" s="43" t="s">
        <v>730</v>
      </c>
      <c r="M25" s="43" t="s">
        <v>785</v>
      </c>
      <c r="N25" s="43" t="s">
        <v>848</v>
      </c>
      <c r="O25" s="43" t="s">
        <v>882</v>
      </c>
      <c r="S25" s="43" t="s">
        <v>964</v>
      </c>
      <c r="T25" s="43" t="s">
        <v>991</v>
      </c>
      <c r="U25" s="43" t="s">
        <v>1067</v>
      </c>
      <c r="V25" s="43" t="s">
        <v>1109</v>
      </c>
      <c r="W25" s="43" t="s">
        <v>1143</v>
      </c>
      <c r="X25" s="43" t="s">
        <v>1195</v>
      </c>
      <c r="Z25" s="43" t="s">
        <v>1245</v>
      </c>
      <c r="AA25" s="43" t="s">
        <v>1272</v>
      </c>
      <c r="AB25" s="43" t="s">
        <v>1316</v>
      </c>
      <c r="AC25" s="43" t="s">
        <v>1356</v>
      </c>
      <c r="AD25" s="43" t="s">
        <v>1393</v>
      </c>
      <c r="AG25" s="43" t="s">
        <v>1461</v>
      </c>
      <c r="AH25" s="43" t="s">
        <v>1488</v>
      </c>
      <c r="AJ25" s="43" t="s">
        <v>1532</v>
      </c>
      <c r="AM25" s="43" t="s">
        <v>1595</v>
      </c>
      <c r="AN25" s="43" t="s">
        <v>1630</v>
      </c>
      <c r="AQ25" s="43" t="s">
        <v>474</v>
      </c>
      <c r="AS25" s="43" t="s">
        <v>441</v>
      </c>
      <c r="AT25" s="43" t="s">
        <v>1820</v>
      </c>
      <c r="AU25" s="43" t="s">
        <v>1864</v>
      </c>
    </row>
    <row r="26" spans="1:47" x14ac:dyDescent="0.45">
      <c r="A26" s="43" t="s">
        <v>145</v>
      </c>
      <c r="B26" s="43" t="s">
        <v>331</v>
      </c>
      <c r="C26" s="43" t="s">
        <v>372</v>
      </c>
      <c r="D26" s="43" t="s">
        <v>406</v>
      </c>
      <c r="E26" s="43" t="s">
        <v>442</v>
      </c>
      <c r="F26" s="43" t="s">
        <v>468</v>
      </c>
      <c r="G26" s="43" t="s">
        <v>503</v>
      </c>
      <c r="H26" s="43" t="s">
        <v>562</v>
      </c>
      <c r="I26" s="43" t="s">
        <v>607</v>
      </c>
      <c r="J26" s="43" t="s">
        <v>633</v>
      </c>
      <c r="K26" s="43" t="s">
        <v>668</v>
      </c>
      <c r="L26" s="43" t="s">
        <v>731</v>
      </c>
      <c r="M26" s="43" t="s">
        <v>786</v>
      </c>
      <c r="N26" s="43" t="s">
        <v>849</v>
      </c>
      <c r="O26" s="43" t="s">
        <v>883</v>
      </c>
      <c r="S26" s="43" t="s">
        <v>965</v>
      </c>
      <c r="T26" s="43" t="s">
        <v>992</v>
      </c>
      <c r="U26" s="43" t="s">
        <v>1068</v>
      </c>
      <c r="V26" s="43" t="s">
        <v>1110</v>
      </c>
      <c r="W26" s="43" t="s">
        <v>1144</v>
      </c>
      <c r="X26" s="43" t="s">
        <v>1196</v>
      </c>
      <c r="Z26" s="43" t="s">
        <v>1246</v>
      </c>
      <c r="AA26" s="43" t="s">
        <v>1273</v>
      </c>
      <c r="AB26" s="43" t="s">
        <v>1317</v>
      </c>
      <c r="AC26" s="43" t="s">
        <v>1357</v>
      </c>
      <c r="AD26" s="43" t="s">
        <v>1394</v>
      </c>
      <c r="AG26" s="43" t="s">
        <v>1462</v>
      </c>
      <c r="AJ26" s="43" t="s">
        <v>1533</v>
      </c>
      <c r="AM26" s="43" t="s">
        <v>1596</v>
      </c>
      <c r="AN26" s="43" t="s">
        <v>1631</v>
      </c>
      <c r="AQ26" s="43" t="s">
        <v>1731</v>
      </c>
      <c r="AS26" s="43" t="s">
        <v>1794</v>
      </c>
      <c r="AT26" s="43" t="s">
        <v>1821</v>
      </c>
      <c r="AU26" s="43" t="s">
        <v>1865</v>
      </c>
    </row>
    <row r="27" spans="1:47" x14ac:dyDescent="0.45">
      <c r="A27" s="43" t="s">
        <v>146</v>
      </c>
      <c r="B27" s="43" t="s">
        <v>332</v>
      </c>
      <c r="C27" s="43" t="s">
        <v>373</v>
      </c>
      <c r="D27" s="43" t="s">
        <v>407</v>
      </c>
      <c r="E27" s="43" t="s">
        <v>443</v>
      </c>
      <c r="F27" s="43" t="s">
        <v>469</v>
      </c>
      <c r="G27" s="43" t="s">
        <v>504</v>
      </c>
      <c r="H27" s="43" t="s">
        <v>563</v>
      </c>
      <c r="I27" s="43" t="s">
        <v>608</v>
      </c>
      <c r="J27" s="43" t="s">
        <v>634</v>
      </c>
      <c r="K27" s="43" t="s">
        <v>669</v>
      </c>
      <c r="L27" s="43" t="s">
        <v>732</v>
      </c>
      <c r="M27" s="43" t="s">
        <v>787</v>
      </c>
      <c r="N27" s="43" t="s">
        <v>850</v>
      </c>
      <c r="O27" s="43" t="s">
        <v>884</v>
      </c>
      <c r="S27" s="43" t="s">
        <v>966</v>
      </c>
      <c r="T27" s="43" t="s">
        <v>993</v>
      </c>
      <c r="U27" s="43" t="s">
        <v>1069</v>
      </c>
      <c r="V27" s="43" t="s">
        <v>1111</v>
      </c>
      <c r="W27" s="43" t="s">
        <v>1145</v>
      </c>
      <c r="X27" s="43" t="s">
        <v>1197</v>
      </c>
      <c r="Z27" s="43" t="s">
        <v>1247</v>
      </c>
      <c r="AA27" s="43" t="s">
        <v>1274</v>
      </c>
      <c r="AB27" s="43" t="s">
        <v>1318</v>
      </c>
      <c r="AC27" s="43" t="s">
        <v>1358</v>
      </c>
      <c r="AD27" s="43" t="s">
        <v>1395</v>
      </c>
      <c r="AG27" s="43" t="s">
        <v>1463</v>
      </c>
      <c r="AM27" s="43" t="s">
        <v>1597</v>
      </c>
      <c r="AN27" s="43" t="s">
        <v>1632</v>
      </c>
      <c r="AQ27" s="43" t="s">
        <v>1009</v>
      </c>
      <c r="AS27" s="43" t="s">
        <v>1795</v>
      </c>
      <c r="AT27" s="43" t="s">
        <v>1822</v>
      </c>
      <c r="AU27" s="43" t="s">
        <v>1866</v>
      </c>
    </row>
    <row r="28" spans="1:47" x14ac:dyDescent="0.45">
      <c r="A28" s="43" t="s">
        <v>147</v>
      </c>
      <c r="B28" s="43" t="s">
        <v>333</v>
      </c>
      <c r="C28" s="43" t="s">
        <v>374</v>
      </c>
      <c r="D28" s="43" t="s">
        <v>408</v>
      </c>
      <c r="F28" s="43" t="s">
        <v>470</v>
      </c>
      <c r="G28" s="43" t="s">
        <v>505</v>
      </c>
      <c r="H28" s="43" t="s">
        <v>564</v>
      </c>
      <c r="J28" s="43" t="s">
        <v>635</v>
      </c>
      <c r="K28" s="43" t="s">
        <v>670</v>
      </c>
      <c r="L28" s="43" t="s">
        <v>733</v>
      </c>
      <c r="M28" s="43" t="s">
        <v>788</v>
      </c>
      <c r="N28" s="43" t="s">
        <v>851</v>
      </c>
      <c r="O28" s="43" t="s">
        <v>885</v>
      </c>
      <c r="S28" s="43" t="s">
        <v>967</v>
      </c>
      <c r="T28" s="43" t="s">
        <v>994</v>
      </c>
      <c r="U28" s="43" t="s">
        <v>1070</v>
      </c>
      <c r="V28" s="43" t="s">
        <v>1112</v>
      </c>
      <c r="W28" s="43" t="s">
        <v>1146</v>
      </c>
      <c r="X28" s="43" t="s">
        <v>1198</v>
      </c>
      <c r="Z28" s="43" t="s">
        <v>1248</v>
      </c>
      <c r="AA28" s="43" t="s">
        <v>1275</v>
      </c>
      <c r="AB28" s="43" t="s">
        <v>1319</v>
      </c>
      <c r="AC28" s="43" t="s">
        <v>1359</v>
      </c>
      <c r="AD28" s="43" t="s">
        <v>1396</v>
      </c>
      <c r="AG28" s="43" t="s">
        <v>1464</v>
      </c>
      <c r="AM28" s="43" t="s">
        <v>1598</v>
      </c>
      <c r="AN28" s="43" t="s">
        <v>1633</v>
      </c>
      <c r="AQ28" s="43" t="s">
        <v>1732</v>
      </c>
      <c r="AS28" s="43" t="s">
        <v>1796</v>
      </c>
      <c r="AT28" s="43" t="s">
        <v>1823</v>
      </c>
      <c r="AU28" s="43" t="s">
        <v>1867</v>
      </c>
    </row>
    <row r="29" spans="1:47" x14ac:dyDescent="0.45">
      <c r="A29" s="43" t="s">
        <v>148</v>
      </c>
      <c r="B29" s="43" t="s">
        <v>334</v>
      </c>
      <c r="C29" s="43" t="s">
        <v>375</v>
      </c>
      <c r="D29" s="43" t="s">
        <v>409</v>
      </c>
      <c r="F29" s="43" t="s">
        <v>471</v>
      </c>
      <c r="G29" s="43" t="s">
        <v>506</v>
      </c>
      <c r="H29" s="43" t="s">
        <v>565</v>
      </c>
      <c r="J29" s="43" t="s">
        <v>636</v>
      </c>
      <c r="K29" s="43" t="s">
        <v>671</v>
      </c>
      <c r="L29" s="43" t="s">
        <v>734</v>
      </c>
      <c r="M29" s="43" t="s">
        <v>789</v>
      </c>
      <c r="N29" s="43" t="s">
        <v>852</v>
      </c>
      <c r="O29" s="43" t="s">
        <v>886</v>
      </c>
      <c r="S29" s="43" t="s">
        <v>968</v>
      </c>
      <c r="T29" s="43" t="s">
        <v>995</v>
      </c>
      <c r="U29" s="43" t="s">
        <v>1071</v>
      </c>
      <c r="V29" s="43" t="s">
        <v>1113</v>
      </c>
      <c r="W29" s="43" t="s">
        <v>1147</v>
      </c>
      <c r="X29" s="43" t="s">
        <v>1199</v>
      </c>
      <c r="AA29" s="43" t="s">
        <v>1276</v>
      </c>
      <c r="AB29" s="43" t="s">
        <v>1320</v>
      </c>
      <c r="AC29" s="43" t="s">
        <v>1360</v>
      </c>
      <c r="AD29" s="43" t="s">
        <v>1397</v>
      </c>
      <c r="AG29" s="43" t="s">
        <v>1465</v>
      </c>
      <c r="AM29" s="43" t="s">
        <v>1599</v>
      </c>
      <c r="AN29" s="43" t="s">
        <v>1634</v>
      </c>
      <c r="AQ29" s="43" t="s">
        <v>1733</v>
      </c>
      <c r="AT29" s="43" t="s">
        <v>1824</v>
      </c>
      <c r="AU29" s="43" t="s">
        <v>1868</v>
      </c>
    </row>
    <row r="30" spans="1:47" x14ac:dyDescent="0.45">
      <c r="A30" s="43" t="s">
        <v>149</v>
      </c>
      <c r="B30" s="43" t="s">
        <v>335</v>
      </c>
      <c r="C30" s="43" t="s">
        <v>376</v>
      </c>
      <c r="D30" s="43" t="s">
        <v>410</v>
      </c>
      <c r="F30" s="43" t="s">
        <v>472</v>
      </c>
      <c r="G30" s="43" t="s">
        <v>507</v>
      </c>
      <c r="H30" s="43" t="s">
        <v>566</v>
      </c>
      <c r="J30" s="43" t="s">
        <v>511</v>
      </c>
      <c r="K30" s="43" t="s">
        <v>672</v>
      </c>
      <c r="L30" s="43" t="s">
        <v>735</v>
      </c>
      <c r="M30" s="43" t="s">
        <v>790</v>
      </c>
      <c r="N30" s="43" t="s">
        <v>853</v>
      </c>
      <c r="O30" s="43" t="s">
        <v>887</v>
      </c>
      <c r="T30" s="43" t="s">
        <v>996</v>
      </c>
      <c r="U30" s="43" t="s">
        <v>1072</v>
      </c>
      <c r="V30" s="43" t="s">
        <v>1114</v>
      </c>
      <c r="W30" s="43" t="s">
        <v>1148</v>
      </c>
      <c r="X30" s="43" t="s">
        <v>1200</v>
      </c>
      <c r="AA30" s="43" t="s">
        <v>1277</v>
      </c>
      <c r="AB30" s="43" t="s">
        <v>1321</v>
      </c>
      <c r="AC30" s="43" t="s">
        <v>1361</v>
      </c>
      <c r="AD30" s="43" t="s">
        <v>1398</v>
      </c>
      <c r="AM30" s="43" t="s">
        <v>1600</v>
      </c>
      <c r="AN30" s="43" t="s">
        <v>1635</v>
      </c>
      <c r="AQ30" s="43" t="s">
        <v>1734</v>
      </c>
      <c r="AT30" s="43" t="s">
        <v>1825</v>
      </c>
      <c r="AU30" s="43" t="s">
        <v>1869</v>
      </c>
    </row>
    <row r="31" spans="1:47" x14ac:dyDescent="0.45">
      <c r="A31" s="43" t="s">
        <v>150</v>
      </c>
      <c r="B31" s="43" t="s">
        <v>336</v>
      </c>
      <c r="C31" s="43" t="s">
        <v>377</v>
      </c>
      <c r="D31" s="43" t="s">
        <v>411</v>
      </c>
      <c r="F31" s="43" t="s">
        <v>473</v>
      </c>
      <c r="G31" s="43" t="s">
        <v>508</v>
      </c>
      <c r="H31" s="43" t="s">
        <v>567</v>
      </c>
      <c r="J31" s="43" t="s">
        <v>637</v>
      </c>
      <c r="K31" s="43" t="s">
        <v>673</v>
      </c>
      <c r="L31" s="43" t="s">
        <v>736</v>
      </c>
      <c r="M31" s="43" t="s">
        <v>791</v>
      </c>
      <c r="N31" s="43" t="s">
        <v>854</v>
      </c>
      <c r="O31" s="43" t="s">
        <v>888</v>
      </c>
      <c r="T31" s="43" t="s">
        <v>997</v>
      </c>
      <c r="U31" s="43" t="s">
        <v>1073</v>
      </c>
      <c r="V31" s="43" t="s">
        <v>1115</v>
      </c>
      <c r="W31" s="43" t="s">
        <v>1149</v>
      </c>
      <c r="X31" s="43" t="s">
        <v>1201</v>
      </c>
      <c r="AA31" s="43" t="s">
        <v>1278</v>
      </c>
      <c r="AB31" s="43" t="s">
        <v>1322</v>
      </c>
      <c r="AC31" s="43" t="s">
        <v>1362</v>
      </c>
      <c r="AD31" s="43" t="s">
        <v>1399</v>
      </c>
      <c r="AM31" s="43" t="s">
        <v>1601</v>
      </c>
      <c r="AN31" s="43" t="s">
        <v>1636</v>
      </c>
      <c r="AQ31" s="43" t="s">
        <v>1735</v>
      </c>
      <c r="AT31" s="43" t="s">
        <v>1826</v>
      </c>
      <c r="AU31" s="43" t="s">
        <v>1870</v>
      </c>
    </row>
    <row r="32" spans="1:47" x14ac:dyDescent="0.45">
      <c r="A32" s="43" t="s">
        <v>151</v>
      </c>
      <c r="B32" s="43" t="s">
        <v>337</v>
      </c>
      <c r="C32" s="43" t="s">
        <v>378</v>
      </c>
      <c r="D32" s="43" t="s">
        <v>412</v>
      </c>
      <c r="F32" s="43" t="s">
        <v>474</v>
      </c>
      <c r="G32" s="43" t="s">
        <v>509</v>
      </c>
      <c r="H32" s="43" t="s">
        <v>568</v>
      </c>
      <c r="J32" s="43" t="s">
        <v>638</v>
      </c>
      <c r="K32" s="43" t="s">
        <v>674</v>
      </c>
      <c r="L32" s="43" t="s">
        <v>737</v>
      </c>
      <c r="M32" s="43" t="s">
        <v>792</v>
      </c>
      <c r="N32" s="43" t="s">
        <v>855</v>
      </c>
      <c r="O32" s="43" t="s">
        <v>889</v>
      </c>
      <c r="T32" s="43" t="s">
        <v>998</v>
      </c>
      <c r="U32" s="43" t="s">
        <v>1074</v>
      </c>
      <c r="V32" s="43" t="s">
        <v>277</v>
      </c>
      <c r="W32" s="43" t="s">
        <v>1150</v>
      </c>
      <c r="AA32" s="43" t="s">
        <v>1279</v>
      </c>
      <c r="AB32" s="43" t="s">
        <v>1323</v>
      </c>
      <c r="AC32" s="43" t="s">
        <v>1363</v>
      </c>
      <c r="AD32" s="43" t="s">
        <v>1400</v>
      </c>
      <c r="AM32" s="43" t="s">
        <v>1602</v>
      </c>
      <c r="AN32" s="43" t="s">
        <v>1637</v>
      </c>
      <c r="AQ32" s="43" t="s">
        <v>1736</v>
      </c>
      <c r="AT32" s="43" t="s">
        <v>1827</v>
      </c>
      <c r="AU32" s="43" t="s">
        <v>1871</v>
      </c>
    </row>
    <row r="33" spans="1:47" x14ac:dyDescent="0.45">
      <c r="A33" s="43" t="s">
        <v>152</v>
      </c>
      <c r="B33" s="43" t="s">
        <v>338</v>
      </c>
      <c r="C33" s="43" t="s">
        <v>379</v>
      </c>
      <c r="D33" s="43" t="s">
        <v>413</v>
      </c>
      <c r="F33" s="43" t="s">
        <v>475</v>
      </c>
      <c r="G33" s="43" t="s">
        <v>510</v>
      </c>
      <c r="H33" s="43" t="s">
        <v>569</v>
      </c>
      <c r="J33" s="43" t="s">
        <v>639</v>
      </c>
      <c r="K33" s="43" t="s">
        <v>675</v>
      </c>
      <c r="L33" s="43" t="s">
        <v>738</v>
      </c>
      <c r="M33" s="43" t="s">
        <v>793</v>
      </c>
      <c r="N33" s="43" t="s">
        <v>856</v>
      </c>
      <c r="T33" s="43" t="s">
        <v>999</v>
      </c>
      <c r="U33" s="43" t="s">
        <v>1075</v>
      </c>
      <c r="V33" s="43" t="s">
        <v>1116</v>
      </c>
      <c r="W33" s="43" t="s">
        <v>1151</v>
      </c>
      <c r="AA33" s="43" t="s">
        <v>1280</v>
      </c>
      <c r="AB33" s="43" t="s">
        <v>1324</v>
      </c>
      <c r="AC33" s="43" t="s">
        <v>1364</v>
      </c>
      <c r="AM33" s="43" t="s">
        <v>1603</v>
      </c>
      <c r="AN33" s="43" t="s">
        <v>1638</v>
      </c>
      <c r="AQ33" s="43" t="s">
        <v>1737</v>
      </c>
      <c r="AT33" s="43" t="s">
        <v>1828</v>
      </c>
      <c r="AU33" s="43" t="s">
        <v>1872</v>
      </c>
    </row>
    <row r="34" spans="1:47" x14ac:dyDescent="0.45">
      <c r="A34" s="43" t="s">
        <v>153</v>
      </c>
      <c r="B34" s="43" t="s">
        <v>339</v>
      </c>
      <c r="C34" s="43" t="s">
        <v>380</v>
      </c>
      <c r="D34" s="43" t="s">
        <v>414</v>
      </c>
      <c r="F34" s="43" t="s">
        <v>476</v>
      </c>
      <c r="G34" s="43" t="s">
        <v>465</v>
      </c>
      <c r="H34" s="43" t="s">
        <v>570</v>
      </c>
      <c r="J34" s="43" t="s">
        <v>640</v>
      </c>
      <c r="K34" s="43" t="s">
        <v>676</v>
      </c>
      <c r="L34" s="43" t="s">
        <v>739</v>
      </c>
      <c r="M34" s="43" t="s">
        <v>794</v>
      </c>
      <c r="N34" s="43" t="s">
        <v>857</v>
      </c>
      <c r="T34" s="43" t="s">
        <v>1000</v>
      </c>
      <c r="U34" s="43" t="s">
        <v>284</v>
      </c>
      <c r="V34" s="43" t="s">
        <v>1117</v>
      </c>
      <c r="W34" s="43" t="s">
        <v>1152</v>
      </c>
      <c r="AA34" s="43" t="s">
        <v>1281</v>
      </c>
      <c r="AB34" s="43" t="s">
        <v>1325</v>
      </c>
      <c r="AC34" s="43" t="s">
        <v>1365</v>
      </c>
      <c r="AM34" s="43" t="s">
        <v>1604</v>
      </c>
      <c r="AN34" s="43" t="s">
        <v>1639</v>
      </c>
      <c r="AQ34" s="43" t="s">
        <v>1738</v>
      </c>
      <c r="AT34" s="43" t="s">
        <v>1829</v>
      </c>
      <c r="AU34" s="43" t="s">
        <v>1873</v>
      </c>
    </row>
    <row r="35" spans="1:47" x14ac:dyDescent="0.45">
      <c r="A35" s="43" t="s">
        <v>154</v>
      </c>
      <c r="B35" s="43" t="s">
        <v>340</v>
      </c>
      <c r="C35" s="43" t="s">
        <v>381</v>
      </c>
      <c r="D35" s="43" t="s">
        <v>415</v>
      </c>
      <c r="F35" s="43" t="s">
        <v>477</v>
      </c>
      <c r="G35" s="43" t="s">
        <v>511</v>
      </c>
      <c r="H35" s="43" t="s">
        <v>571</v>
      </c>
      <c r="J35" s="43" t="s">
        <v>641</v>
      </c>
      <c r="K35" s="43" t="s">
        <v>677</v>
      </c>
      <c r="L35" s="43" t="s">
        <v>740</v>
      </c>
      <c r="M35" s="43" t="s">
        <v>795</v>
      </c>
      <c r="N35" s="43" t="s">
        <v>858</v>
      </c>
      <c r="T35" s="43" t="s">
        <v>1001</v>
      </c>
      <c r="U35" s="43" t="s">
        <v>1076</v>
      </c>
      <c r="V35" s="43" t="s">
        <v>1118</v>
      </c>
      <c r="W35" s="43" t="s">
        <v>1153</v>
      </c>
      <c r="AA35" s="43" t="s">
        <v>1282</v>
      </c>
      <c r="AB35" s="43" t="s">
        <v>1326</v>
      </c>
      <c r="AC35" s="43" t="s">
        <v>1366</v>
      </c>
      <c r="AM35" s="43" t="s">
        <v>1605</v>
      </c>
      <c r="AN35" s="43" t="s">
        <v>1640</v>
      </c>
      <c r="AQ35" s="43" t="s">
        <v>1739</v>
      </c>
      <c r="AT35" s="43" t="s">
        <v>1830</v>
      </c>
      <c r="AU35" s="43" t="s">
        <v>1874</v>
      </c>
    </row>
    <row r="36" spans="1:47" x14ac:dyDescent="0.45">
      <c r="A36" s="43" t="s">
        <v>155</v>
      </c>
      <c r="B36" s="43" t="s">
        <v>341</v>
      </c>
      <c r="D36" s="43" t="s">
        <v>416</v>
      </c>
      <c r="F36" s="43" t="s">
        <v>478</v>
      </c>
      <c r="G36" s="43" t="s">
        <v>512</v>
      </c>
      <c r="H36" s="43" t="s">
        <v>572</v>
      </c>
      <c r="J36" s="43" t="s">
        <v>642</v>
      </c>
      <c r="K36" s="43" t="s">
        <v>678</v>
      </c>
      <c r="L36" s="43" t="s">
        <v>741</v>
      </c>
      <c r="M36" s="43" t="s">
        <v>796</v>
      </c>
      <c r="T36" s="43" t="s">
        <v>1002</v>
      </c>
      <c r="U36" s="43" t="s">
        <v>1077</v>
      </c>
      <c r="V36" s="43" t="s">
        <v>1119</v>
      </c>
      <c r="W36" s="43" t="s">
        <v>1154</v>
      </c>
      <c r="AA36" s="43" t="s">
        <v>1283</v>
      </c>
      <c r="AB36" s="43" t="s">
        <v>1327</v>
      </c>
      <c r="AC36" s="43" t="s">
        <v>1367</v>
      </c>
      <c r="AM36" s="43" t="s">
        <v>1606</v>
      </c>
      <c r="AN36" s="43" t="s">
        <v>1641</v>
      </c>
      <c r="AQ36" s="43" t="s">
        <v>1740</v>
      </c>
      <c r="AT36" s="43" t="s">
        <v>1831</v>
      </c>
      <c r="AU36" s="43" t="s">
        <v>1875</v>
      </c>
    </row>
    <row r="37" spans="1:47" x14ac:dyDescent="0.45">
      <c r="A37" s="43" t="s">
        <v>156</v>
      </c>
      <c r="B37" s="43" t="s">
        <v>342</v>
      </c>
      <c r="D37" s="43" t="s">
        <v>417</v>
      </c>
      <c r="F37" s="43" t="s">
        <v>479</v>
      </c>
      <c r="G37" s="43" t="s">
        <v>513</v>
      </c>
      <c r="H37" s="43" t="s">
        <v>573</v>
      </c>
      <c r="J37" s="43" t="s">
        <v>643</v>
      </c>
      <c r="K37" s="43" t="s">
        <v>679</v>
      </c>
      <c r="L37" s="43" t="s">
        <v>742</v>
      </c>
      <c r="M37" s="43" t="s">
        <v>797</v>
      </c>
      <c r="T37" s="43" t="s">
        <v>1003</v>
      </c>
      <c r="U37" s="43" t="s">
        <v>1078</v>
      </c>
      <c r="V37" s="43" t="s">
        <v>165</v>
      </c>
      <c r="W37" s="43" t="s">
        <v>1155</v>
      </c>
      <c r="AA37" s="43" t="s">
        <v>1284</v>
      </c>
      <c r="AB37" s="43" t="s">
        <v>1328</v>
      </c>
      <c r="AC37" s="43" t="s">
        <v>1368</v>
      </c>
      <c r="AN37" s="43" t="s">
        <v>1642</v>
      </c>
      <c r="AQ37" s="43" t="s">
        <v>1741</v>
      </c>
      <c r="AT37" s="43" t="s">
        <v>1832</v>
      </c>
      <c r="AU37" s="43" t="s">
        <v>1876</v>
      </c>
    </row>
    <row r="38" spans="1:47" x14ac:dyDescent="0.45">
      <c r="A38" s="43" t="s">
        <v>157</v>
      </c>
      <c r="B38" s="43" t="s">
        <v>343</v>
      </c>
      <c r="G38" s="43" t="s">
        <v>514</v>
      </c>
      <c r="H38" s="43" t="s">
        <v>574</v>
      </c>
      <c r="K38" s="43" t="s">
        <v>680</v>
      </c>
      <c r="L38" s="43" t="s">
        <v>743</v>
      </c>
      <c r="M38" s="43" t="s">
        <v>798</v>
      </c>
      <c r="T38" s="43" t="s">
        <v>1004</v>
      </c>
      <c r="U38" s="43" t="s">
        <v>1079</v>
      </c>
      <c r="W38" s="43" t="s">
        <v>1156</v>
      </c>
      <c r="AA38" s="43" t="s">
        <v>1285</v>
      </c>
      <c r="AB38" s="43" t="s">
        <v>1329</v>
      </c>
      <c r="AC38" s="43" t="s">
        <v>1369</v>
      </c>
      <c r="AN38" s="43" t="s">
        <v>1643</v>
      </c>
      <c r="AQ38" s="43" t="s">
        <v>1742</v>
      </c>
      <c r="AT38" s="43" t="s">
        <v>1833</v>
      </c>
      <c r="AU38" s="43" t="s">
        <v>1877</v>
      </c>
    </row>
    <row r="39" spans="1:47" x14ac:dyDescent="0.45">
      <c r="A39" s="43" t="s">
        <v>158</v>
      </c>
      <c r="B39" s="43" t="s">
        <v>344</v>
      </c>
      <c r="G39" s="43" t="s">
        <v>515</v>
      </c>
      <c r="H39" s="43" t="s">
        <v>575</v>
      </c>
      <c r="K39" s="43" t="s">
        <v>681</v>
      </c>
      <c r="L39" s="43" t="s">
        <v>744</v>
      </c>
      <c r="M39" s="43" t="s">
        <v>799</v>
      </c>
      <c r="T39" s="43" t="s">
        <v>1005</v>
      </c>
      <c r="U39" s="43" t="s">
        <v>1080</v>
      </c>
      <c r="W39" s="43" t="s">
        <v>1157</v>
      </c>
      <c r="AA39" s="43" t="s">
        <v>1286</v>
      </c>
      <c r="AB39" s="43" t="s">
        <v>1290</v>
      </c>
      <c r="AC39" s="43" t="s">
        <v>1370</v>
      </c>
      <c r="AN39" s="43" t="s">
        <v>1644</v>
      </c>
      <c r="AQ39" s="43" t="s">
        <v>1743</v>
      </c>
      <c r="AT39" s="43" t="s">
        <v>1834</v>
      </c>
      <c r="AU39" s="43" t="s">
        <v>1878</v>
      </c>
    </row>
    <row r="40" spans="1:47" x14ac:dyDescent="0.45">
      <c r="A40" s="43" t="s">
        <v>159</v>
      </c>
      <c r="B40" s="43" t="s">
        <v>345</v>
      </c>
      <c r="G40" s="43" t="s">
        <v>516</v>
      </c>
      <c r="H40" s="43" t="s">
        <v>576</v>
      </c>
      <c r="K40" s="43" t="s">
        <v>682</v>
      </c>
      <c r="L40" s="43" t="s">
        <v>745</v>
      </c>
      <c r="M40" s="43" t="s">
        <v>800</v>
      </c>
      <c r="T40" s="43" t="s">
        <v>1006</v>
      </c>
      <c r="U40" s="43" t="s">
        <v>1081</v>
      </c>
      <c r="W40" s="43" t="s">
        <v>1158</v>
      </c>
      <c r="AA40" s="43" t="s">
        <v>1287</v>
      </c>
      <c r="AB40" s="43" t="s">
        <v>1330</v>
      </c>
      <c r="AC40" s="43" t="s">
        <v>990</v>
      </c>
      <c r="AN40" s="43" t="s">
        <v>1645</v>
      </c>
      <c r="AQ40" s="43" t="s">
        <v>1744</v>
      </c>
      <c r="AT40" s="43" t="s">
        <v>1835</v>
      </c>
      <c r="AU40" s="43" t="s">
        <v>1879</v>
      </c>
    </row>
    <row r="41" spans="1:47" x14ac:dyDescent="0.45">
      <c r="A41" s="43" t="s">
        <v>160</v>
      </c>
      <c r="B41" s="43" t="s">
        <v>346</v>
      </c>
      <c r="G41" s="43" t="s">
        <v>517</v>
      </c>
      <c r="H41" s="43" t="s">
        <v>577</v>
      </c>
      <c r="K41" s="43" t="s">
        <v>683</v>
      </c>
      <c r="L41" s="43" t="s">
        <v>746</v>
      </c>
      <c r="M41" s="43" t="s">
        <v>801</v>
      </c>
      <c r="T41" s="43" t="s">
        <v>1007</v>
      </c>
      <c r="U41" s="43" t="s">
        <v>1082</v>
      </c>
      <c r="W41" s="43" t="s">
        <v>1159</v>
      </c>
      <c r="AA41" s="43" t="s">
        <v>1288</v>
      </c>
      <c r="AB41" s="43" t="s">
        <v>1331</v>
      </c>
      <c r="AC41" s="43" t="s">
        <v>1371</v>
      </c>
      <c r="AN41" s="43" t="s">
        <v>1646</v>
      </c>
      <c r="AQ41" s="43" t="s">
        <v>1745</v>
      </c>
      <c r="AT41" s="43" t="s">
        <v>1836</v>
      </c>
      <c r="AU41" s="43" t="s">
        <v>1880</v>
      </c>
    </row>
    <row r="42" spans="1:47" x14ac:dyDescent="0.45">
      <c r="A42" s="43" t="s">
        <v>161</v>
      </c>
      <c r="B42" s="43" t="s">
        <v>347</v>
      </c>
      <c r="G42" s="43" t="s">
        <v>518</v>
      </c>
      <c r="H42" s="43" t="s">
        <v>578</v>
      </c>
      <c r="K42" s="43" t="s">
        <v>684</v>
      </c>
      <c r="L42" s="43" t="s">
        <v>747</v>
      </c>
      <c r="M42" s="43" t="s">
        <v>802</v>
      </c>
      <c r="T42" s="43" t="s">
        <v>1008</v>
      </c>
      <c r="U42" s="43" t="s">
        <v>1083</v>
      </c>
      <c r="W42" s="43" t="s">
        <v>1160</v>
      </c>
      <c r="AA42" s="43" t="s">
        <v>1289</v>
      </c>
      <c r="AB42" s="43" t="s">
        <v>1332</v>
      </c>
      <c r="AN42" s="43" t="s">
        <v>1647</v>
      </c>
      <c r="AQ42" s="43" t="s">
        <v>1746</v>
      </c>
      <c r="AT42" s="43" t="s">
        <v>1837</v>
      </c>
      <c r="AU42" s="43" t="s">
        <v>1881</v>
      </c>
    </row>
    <row r="43" spans="1:47" x14ac:dyDescent="0.45">
      <c r="A43" s="43" t="s">
        <v>162</v>
      </c>
      <c r="G43" s="43" t="s">
        <v>519</v>
      </c>
      <c r="H43" s="43" t="s">
        <v>579</v>
      </c>
      <c r="K43" s="43" t="s">
        <v>685</v>
      </c>
      <c r="L43" s="43" t="s">
        <v>748</v>
      </c>
      <c r="M43" s="43" t="s">
        <v>803</v>
      </c>
      <c r="T43" s="43" t="s">
        <v>1009</v>
      </c>
      <c r="U43" s="43" t="s">
        <v>1084</v>
      </c>
      <c r="W43" s="43" t="s">
        <v>1161</v>
      </c>
      <c r="AA43" s="43" t="s">
        <v>1290</v>
      </c>
      <c r="AB43" s="43" t="s">
        <v>1333</v>
      </c>
      <c r="AN43" s="43" t="s">
        <v>1648</v>
      </c>
      <c r="AQ43" s="43" t="s">
        <v>1747</v>
      </c>
      <c r="AT43" s="43" t="s">
        <v>1838</v>
      </c>
      <c r="AU43" s="43" t="s">
        <v>1882</v>
      </c>
    </row>
    <row r="44" spans="1:47" x14ac:dyDescent="0.45">
      <c r="A44" s="43" t="s">
        <v>163</v>
      </c>
      <c r="G44" s="43" t="s">
        <v>520</v>
      </c>
      <c r="H44" s="43" t="s">
        <v>580</v>
      </c>
      <c r="K44" s="43" t="s">
        <v>686</v>
      </c>
      <c r="L44" s="43" t="s">
        <v>749</v>
      </c>
      <c r="M44" s="43" t="s">
        <v>804</v>
      </c>
      <c r="T44" s="43" t="s">
        <v>1010</v>
      </c>
      <c r="U44" s="43" t="s">
        <v>1085</v>
      </c>
      <c r="W44" s="43" t="s">
        <v>1162</v>
      </c>
      <c r="AA44" s="43" t="s">
        <v>1291</v>
      </c>
      <c r="AN44" s="43" t="s">
        <v>1649</v>
      </c>
      <c r="AQ44" s="43" t="s">
        <v>1748</v>
      </c>
      <c r="AT44" s="43" t="s">
        <v>1839</v>
      </c>
    </row>
    <row r="45" spans="1:47" x14ac:dyDescent="0.45">
      <c r="A45" s="43" t="s">
        <v>164</v>
      </c>
      <c r="G45" s="43" t="s">
        <v>521</v>
      </c>
      <c r="H45" s="43" t="s">
        <v>581</v>
      </c>
      <c r="K45" s="43" t="s">
        <v>687</v>
      </c>
      <c r="L45" s="43" t="s">
        <v>750</v>
      </c>
      <c r="M45" s="43" t="s">
        <v>805</v>
      </c>
      <c r="T45" s="43" t="s">
        <v>1011</v>
      </c>
      <c r="W45" s="43" t="s">
        <v>1163</v>
      </c>
      <c r="AA45" s="43" t="s">
        <v>1292</v>
      </c>
      <c r="AN45" s="43" t="s">
        <v>1650</v>
      </c>
      <c r="AQ45" s="43" t="s">
        <v>1749</v>
      </c>
      <c r="AT45" s="43" t="s">
        <v>1840</v>
      </c>
    </row>
    <row r="46" spans="1:47" x14ac:dyDescent="0.45">
      <c r="A46" s="43" t="s">
        <v>165</v>
      </c>
      <c r="G46" s="43" t="s">
        <v>522</v>
      </c>
      <c r="H46" s="43" t="s">
        <v>582</v>
      </c>
      <c r="K46" s="43" t="s">
        <v>688</v>
      </c>
      <c r="L46" s="43" t="s">
        <v>751</v>
      </c>
      <c r="M46" s="43" t="s">
        <v>806</v>
      </c>
      <c r="T46" s="43" t="s">
        <v>1012</v>
      </c>
      <c r="W46" s="43" t="s">
        <v>1164</v>
      </c>
      <c r="AN46" s="43" t="s">
        <v>1651</v>
      </c>
      <c r="AQ46" s="43" t="s">
        <v>1750</v>
      </c>
    </row>
    <row r="47" spans="1:47" x14ac:dyDescent="0.45">
      <c r="A47" s="43" t="s">
        <v>166</v>
      </c>
      <c r="G47" s="43" t="s">
        <v>523</v>
      </c>
      <c r="K47" s="43" t="s">
        <v>689</v>
      </c>
      <c r="L47" s="43" t="s">
        <v>752</v>
      </c>
      <c r="M47" s="43" t="s">
        <v>807</v>
      </c>
      <c r="T47" s="43" t="s">
        <v>1013</v>
      </c>
      <c r="W47" s="43" t="s">
        <v>1165</v>
      </c>
      <c r="AN47" s="43" t="s">
        <v>1652</v>
      </c>
      <c r="AQ47" s="43" t="s">
        <v>1751</v>
      </c>
    </row>
    <row r="48" spans="1:47" x14ac:dyDescent="0.45">
      <c r="A48" s="43" t="s">
        <v>167</v>
      </c>
      <c r="G48" s="43" t="s">
        <v>524</v>
      </c>
      <c r="K48" s="43" t="s">
        <v>690</v>
      </c>
      <c r="L48" s="43" t="s">
        <v>753</v>
      </c>
      <c r="M48" s="43" t="s">
        <v>808</v>
      </c>
      <c r="T48" s="43" t="s">
        <v>1014</v>
      </c>
      <c r="W48" s="43" t="s">
        <v>1166</v>
      </c>
      <c r="AN48" s="43" t="s">
        <v>1653</v>
      </c>
    </row>
    <row r="49" spans="1:40" x14ac:dyDescent="0.45">
      <c r="A49" s="43" t="s">
        <v>168</v>
      </c>
      <c r="G49" s="43" t="s">
        <v>525</v>
      </c>
      <c r="K49" s="43" t="s">
        <v>691</v>
      </c>
      <c r="L49" s="43" t="s">
        <v>754</v>
      </c>
      <c r="M49" s="43" t="s">
        <v>809</v>
      </c>
      <c r="T49" s="43" t="s">
        <v>1015</v>
      </c>
      <c r="W49" s="43" t="s">
        <v>1167</v>
      </c>
      <c r="AN49" s="43" t="s">
        <v>1654</v>
      </c>
    </row>
    <row r="50" spans="1:40" x14ac:dyDescent="0.45">
      <c r="A50" s="43" t="s">
        <v>169</v>
      </c>
      <c r="G50" s="43" t="s">
        <v>526</v>
      </c>
      <c r="K50" s="43" t="s">
        <v>692</v>
      </c>
      <c r="L50" s="43" t="s">
        <v>755</v>
      </c>
      <c r="M50" s="43" t="s">
        <v>810</v>
      </c>
      <c r="T50" s="43" t="s">
        <v>1016</v>
      </c>
      <c r="W50" s="43" t="s">
        <v>1168</v>
      </c>
      <c r="AN50" s="43" t="s">
        <v>1387</v>
      </c>
    </row>
    <row r="51" spans="1:40" x14ac:dyDescent="0.45">
      <c r="A51" s="43" t="s">
        <v>170</v>
      </c>
      <c r="G51" s="43" t="s">
        <v>527</v>
      </c>
      <c r="K51" s="43" t="s">
        <v>693</v>
      </c>
      <c r="L51" s="43" t="s">
        <v>756</v>
      </c>
      <c r="M51" s="43" t="s">
        <v>811</v>
      </c>
      <c r="T51" s="43" t="s">
        <v>1017</v>
      </c>
      <c r="W51" s="43" t="s">
        <v>938</v>
      </c>
      <c r="AN51" s="43" t="s">
        <v>1655</v>
      </c>
    </row>
    <row r="52" spans="1:40" x14ac:dyDescent="0.45">
      <c r="A52" s="43" t="s">
        <v>171</v>
      </c>
      <c r="G52" s="43" t="s">
        <v>528</v>
      </c>
      <c r="K52" s="43" t="s">
        <v>694</v>
      </c>
      <c r="L52" s="43" t="s">
        <v>757</v>
      </c>
      <c r="M52" s="43" t="s">
        <v>812</v>
      </c>
      <c r="T52" s="43" t="s">
        <v>1018</v>
      </c>
      <c r="W52" s="43" t="s">
        <v>1169</v>
      </c>
      <c r="AN52" s="43" t="s">
        <v>1656</v>
      </c>
    </row>
    <row r="53" spans="1:40" x14ac:dyDescent="0.45">
      <c r="A53" s="43" t="s">
        <v>172</v>
      </c>
      <c r="G53" s="43" t="s">
        <v>529</v>
      </c>
      <c r="K53" s="43" t="s">
        <v>695</v>
      </c>
      <c r="L53" s="43" t="s">
        <v>758</v>
      </c>
      <c r="M53" s="43" t="s">
        <v>813</v>
      </c>
      <c r="T53" s="43" t="s">
        <v>1019</v>
      </c>
      <c r="W53" s="43" t="s">
        <v>1170</v>
      </c>
      <c r="AN53" s="43" t="s">
        <v>1657</v>
      </c>
    </row>
    <row r="54" spans="1:40" x14ac:dyDescent="0.45">
      <c r="A54" s="43" t="s">
        <v>173</v>
      </c>
      <c r="G54" s="43" t="s">
        <v>530</v>
      </c>
      <c r="K54" s="43" t="s">
        <v>696</v>
      </c>
      <c r="L54" s="43" t="s">
        <v>759</v>
      </c>
      <c r="M54" s="43" t="s">
        <v>814</v>
      </c>
      <c r="T54" s="43" t="s">
        <v>1020</v>
      </c>
      <c r="W54" s="43" t="s">
        <v>1171</v>
      </c>
      <c r="AN54" s="43" t="s">
        <v>402</v>
      </c>
    </row>
    <row r="55" spans="1:40" x14ac:dyDescent="0.45">
      <c r="A55" s="43" t="s">
        <v>174</v>
      </c>
      <c r="G55" s="43" t="s">
        <v>531</v>
      </c>
      <c r="K55" s="43" t="s">
        <v>697</v>
      </c>
      <c r="L55" s="43" t="s">
        <v>760</v>
      </c>
      <c r="M55" s="43" t="s">
        <v>815</v>
      </c>
      <c r="T55" s="43" t="s">
        <v>1021</v>
      </c>
      <c r="W55" s="43" t="s">
        <v>1172</v>
      </c>
      <c r="AN55" s="43" t="s">
        <v>1658</v>
      </c>
    </row>
    <row r="56" spans="1:40" x14ac:dyDescent="0.45">
      <c r="A56" s="43" t="s">
        <v>175</v>
      </c>
      <c r="G56" s="43" t="s">
        <v>532</v>
      </c>
      <c r="K56" s="43" t="s">
        <v>698</v>
      </c>
      <c r="L56" s="43" t="s">
        <v>761</v>
      </c>
      <c r="M56" s="43" t="s">
        <v>816</v>
      </c>
      <c r="T56" s="43" t="s">
        <v>1022</v>
      </c>
      <c r="W56" s="43" t="s">
        <v>1173</v>
      </c>
      <c r="AN56" s="43" t="s">
        <v>1659</v>
      </c>
    </row>
    <row r="57" spans="1:40" x14ac:dyDescent="0.45">
      <c r="A57" s="43" t="s">
        <v>176</v>
      </c>
      <c r="G57" s="43" t="s">
        <v>533</v>
      </c>
      <c r="K57" s="43" t="s">
        <v>699</v>
      </c>
      <c r="M57" s="43" t="s">
        <v>817</v>
      </c>
      <c r="T57" s="43" t="s">
        <v>1023</v>
      </c>
      <c r="AN57" s="43" t="s">
        <v>1660</v>
      </c>
    </row>
    <row r="58" spans="1:40" x14ac:dyDescent="0.45">
      <c r="A58" s="43" t="s">
        <v>177</v>
      </c>
      <c r="G58" s="43" t="s">
        <v>534</v>
      </c>
      <c r="K58" s="43" t="s">
        <v>700</v>
      </c>
      <c r="M58" s="43" t="s">
        <v>818</v>
      </c>
      <c r="T58" s="43" t="s">
        <v>1024</v>
      </c>
      <c r="AN58" s="43" t="s">
        <v>1661</v>
      </c>
    </row>
    <row r="59" spans="1:40" x14ac:dyDescent="0.45">
      <c r="A59" s="43" t="s">
        <v>178</v>
      </c>
      <c r="G59" s="43" t="s">
        <v>535</v>
      </c>
      <c r="K59" s="43" t="s">
        <v>415</v>
      </c>
      <c r="M59" s="43" t="s">
        <v>819</v>
      </c>
      <c r="T59" s="43" t="s">
        <v>1025</v>
      </c>
      <c r="AN59" s="43" t="s">
        <v>1662</v>
      </c>
    </row>
    <row r="60" spans="1:40" x14ac:dyDescent="0.45">
      <c r="A60" s="43" t="s">
        <v>179</v>
      </c>
      <c r="G60" s="43" t="s">
        <v>536</v>
      </c>
      <c r="K60" s="43" t="s">
        <v>701</v>
      </c>
      <c r="M60" s="43" t="s">
        <v>820</v>
      </c>
      <c r="T60" s="43" t="s">
        <v>1026</v>
      </c>
      <c r="AN60" s="43" t="s">
        <v>1663</v>
      </c>
    </row>
    <row r="61" spans="1:40" x14ac:dyDescent="0.45">
      <c r="A61" s="43" t="s">
        <v>180</v>
      </c>
      <c r="G61" s="43" t="s">
        <v>537</v>
      </c>
      <c r="K61" s="43" t="s">
        <v>702</v>
      </c>
      <c r="M61" s="43" t="s">
        <v>821</v>
      </c>
      <c r="T61" s="43" t="s">
        <v>1027</v>
      </c>
      <c r="AN61" s="43" t="s">
        <v>1664</v>
      </c>
    </row>
    <row r="62" spans="1:40" x14ac:dyDescent="0.45">
      <c r="A62" s="43" t="s">
        <v>181</v>
      </c>
      <c r="K62" s="43" t="s">
        <v>703</v>
      </c>
      <c r="M62" s="43" t="s">
        <v>822</v>
      </c>
      <c r="T62" s="43" t="s">
        <v>1028</v>
      </c>
      <c r="AN62" s="43" t="s">
        <v>1665</v>
      </c>
    </row>
    <row r="63" spans="1:40" x14ac:dyDescent="0.45">
      <c r="A63" s="43" t="s">
        <v>182</v>
      </c>
      <c r="K63" s="43" t="s">
        <v>704</v>
      </c>
      <c r="M63" s="43" t="s">
        <v>823</v>
      </c>
      <c r="T63" s="43" t="s">
        <v>1029</v>
      </c>
    </row>
    <row r="64" spans="1:40" x14ac:dyDescent="0.45">
      <c r="A64" s="43" t="s">
        <v>183</v>
      </c>
      <c r="K64" s="43" t="s">
        <v>705</v>
      </c>
      <c r="M64" s="43" t="s">
        <v>824</v>
      </c>
      <c r="T64" s="43" t="s">
        <v>1030</v>
      </c>
    </row>
    <row r="65" spans="1:20" x14ac:dyDescent="0.45">
      <c r="A65" s="43" t="s">
        <v>184</v>
      </c>
      <c r="K65" s="43" t="s">
        <v>706</v>
      </c>
      <c r="T65" s="43" t="s">
        <v>1031</v>
      </c>
    </row>
    <row r="66" spans="1:20" x14ac:dyDescent="0.45">
      <c r="A66" s="43" t="s">
        <v>185</v>
      </c>
      <c r="T66" s="43" t="s">
        <v>284</v>
      </c>
    </row>
    <row r="67" spans="1:20" x14ac:dyDescent="0.45">
      <c r="A67" s="43" t="s">
        <v>186</v>
      </c>
      <c r="T67" s="43" t="s">
        <v>1032</v>
      </c>
    </row>
    <row r="68" spans="1:20" x14ac:dyDescent="0.45">
      <c r="A68" s="43" t="s">
        <v>187</v>
      </c>
      <c r="T68" s="43" t="s">
        <v>1033</v>
      </c>
    </row>
    <row r="69" spans="1:20" x14ac:dyDescent="0.45">
      <c r="A69" s="43" t="s">
        <v>188</v>
      </c>
      <c r="T69" s="43" t="s">
        <v>1034</v>
      </c>
    </row>
    <row r="70" spans="1:20" x14ac:dyDescent="0.45">
      <c r="A70" s="43" t="s">
        <v>189</v>
      </c>
      <c r="T70" s="43" t="s">
        <v>1035</v>
      </c>
    </row>
    <row r="71" spans="1:20" x14ac:dyDescent="0.45">
      <c r="A71" s="43" t="s">
        <v>190</v>
      </c>
      <c r="T71" s="43" t="s">
        <v>1036</v>
      </c>
    </row>
    <row r="72" spans="1:20" x14ac:dyDescent="0.45">
      <c r="A72" s="43" t="s">
        <v>191</v>
      </c>
      <c r="T72" s="43" t="s">
        <v>633</v>
      </c>
    </row>
    <row r="73" spans="1:20" x14ac:dyDescent="0.45">
      <c r="A73" s="43" t="s">
        <v>192</v>
      </c>
      <c r="T73" s="43" t="s">
        <v>1037</v>
      </c>
    </row>
    <row r="74" spans="1:20" x14ac:dyDescent="0.45">
      <c r="A74" s="43" t="s">
        <v>193</v>
      </c>
      <c r="T74" s="43" t="s">
        <v>1038</v>
      </c>
    </row>
    <row r="75" spans="1:20" x14ac:dyDescent="0.45">
      <c r="A75" s="43" t="s">
        <v>194</v>
      </c>
      <c r="T75" s="43" t="s">
        <v>1039</v>
      </c>
    </row>
    <row r="76" spans="1:20" x14ac:dyDescent="0.45">
      <c r="A76" s="43" t="s">
        <v>195</v>
      </c>
      <c r="T76" s="43" t="s">
        <v>1040</v>
      </c>
    </row>
    <row r="77" spans="1:20" x14ac:dyDescent="0.45">
      <c r="A77" s="43" t="s">
        <v>196</v>
      </c>
      <c r="T77" s="43" t="s">
        <v>1041</v>
      </c>
    </row>
    <row r="78" spans="1:20" x14ac:dyDescent="0.45">
      <c r="A78" s="43" t="s">
        <v>197</v>
      </c>
      <c r="T78" s="43" t="s">
        <v>1042</v>
      </c>
    </row>
    <row r="79" spans="1:20" x14ac:dyDescent="0.45">
      <c r="A79" s="43" t="s">
        <v>198</v>
      </c>
      <c r="T79" s="43" t="s">
        <v>1043</v>
      </c>
    </row>
    <row r="80" spans="1:20" x14ac:dyDescent="0.45">
      <c r="A80" s="43" t="s">
        <v>199</v>
      </c>
    </row>
    <row r="81" spans="1:1" x14ac:dyDescent="0.45">
      <c r="A81" s="43" t="s">
        <v>200</v>
      </c>
    </row>
    <row r="82" spans="1:1" x14ac:dyDescent="0.45">
      <c r="A82" s="43" t="s">
        <v>201</v>
      </c>
    </row>
    <row r="83" spans="1:1" x14ac:dyDescent="0.45">
      <c r="A83" s="43" t="s">
        <v>202</v>
      </c>
    </row>
    <row r="84" spans="1:1" x14ac:dyDescent="0.45">
      <c r="A84" s="43" t="s">
        <v>203</v>
      </c>
    </row>
    <row r="85" spans="1:1" x14ac:dyDescent="0.45">
      <c r="A85" s="43" t="s">
        <v>204</v>
      </c>
    </row>
    <row r="86" spans="1:1" x14ac:dyDescent="0.45">
      <c r="A86" s="43" t="s">
        <v>205</v>
      </c>
    </row>
    <row r="87" spans="1:1" x14ac:dyDescent="0.45">
      <c r="A87" s="43" t="s">
        <v>206</v>
      </c>
    </row>
    <row r="88" spans="1:1" x14ac:dyDescent="0.45">
      <c r="A88" s="43" t="s">
        <v>207</v>
      </c>
    </row>
    <row r="89" spans="1:1" x14ac:dyDescent="0.45">
      <c r="A89" s="43" t="s">
        <v>208</v>
      </c>
    </row>
    <row r="90" spans="1:1" x14ac:dyDescent="0.45">
      <c r="A90" s="43" t="s">
        <v>209</v>
      </c>
    </row>
    <row r="91" spans="1:1" x14ac:dyDescent="0.45">
      <c r="A91" s="43" t="s">
        <v>210</v>
      </c>
    </row>
    <row r="92" spans="1:1" x14ac:dyDescent="0.45">
      <c r="A92" s="43" t="s">
        <v>211</v>
      </c>
    </row>
    <row r="93" spans="1:1" x14ac:dyDescent="0.45">
      <c r="A93" s="43" t="s">
        <v>212</v>
      </c>
    </row>
    <row r="94" spans="1:1" x14ac:dyDescent="0.45">
      <c r="A94" s="43" t="s">
        <v>213</v>
      </c>
    </row>
    <row r="95" spans="1:1" x14ac:dyDescent="0.45">
      <c r="A95" s="43" t="s">
        <v>214</v>
      </c>
    </row>
    <row r="96" spans="1:1" x14ac:dyDescent="0.45">
      <c r="A96" s="43" t="s">
        <v>215</v>
      </c>
    </row>
    <row r="97" spans="1:1" x14ac:dyDescent="0.45">
      <c r="A97" s="43" t="s">
        <v>216</v>
      </c>
    </row>
    <row r="98" spans="1:1" x14ac:dyDescent="0.45">
      <c r="A98" s="43" t="s">
        <v>217</v>
      </c>
    </row>
    <row r="99" spans="1:1" x14ac:dyDescent="0.45">
      <c r="A99" s="43" t="s">
        <v>218</v>
      </c>
    </row>
    <row r="100" spans="1:1" x14ac:dyDescent="0.45">
      <c r="A100" s="43" t="s">
        <v>219</v>
      </c>
    </row>
    <row r="101" spans="1:1" x14ac:dyDescent="0.45">
      <c r="A101" s="43" t="s">
        <v>220</v>
      </c>
    </row>
    <row r="102" spans="1:1" x14ac:dyDescent="0.45">
      <c r="A102" s="43" t="s">
        <v>221</v>
      </c>
    </row>
    <row r="103" spans="1:1" x14ac:dyDescent="0.45">
      <c r="A103" s="43" t="s">
        <v>222</v>
      </c>
    </row>
    <row r="104" spans="1:1" x14ac:dyDescent="0.45">
      <c r="A104" s="43" t="s">
        <v>223</v>
      </c>
    </row>
    <row r="105" spans="1:1" x14ac:dyDescent="0.45">
      <c r="A105" s="43" t="s">
        <v>224</v>
      </c>
    </row>
    <row r="106" spans="1:1" x14ac:dyDescent="0.45">
      <c r="A106" s="43" t="s">
        <v>225</v>
      </c>
    </row>
    <row r="107" spans="1:1" x14ac:dyDescent="0.45">
      <c r="A107" s="43" t="s">
        <v>226</v>
      </c>
    </row>
    <row r="108" spans="1:1" x14ac:dyDescent="0.45">
      <c r="A108" s="43" t="s">
        <v>227</v>
      </c>
    </row>
    <row r="109" spans="1:1" x14ac:dyDescent="0.45">
      <c r="A109" s="43" t="s">
        <v>228</v>
      </c>
    </row>
    <row r="110" spans="1:1" x14ac:dyDescent="0.45">
      <c r="A110" s="43" t="s">
        <v>229</v>
      </c>
    </row>
    <row r="111" spans="1:1" x14ac:dyDescent="0.45">
      <c r="A111" s="43" t="s">
        <v>230</v>
      </c>
    </row>
    <row r="112" spans="1:1" x14ac:dyDescent="0.45">
      <c r="A112" s="43" t="s">
        <v>231</v>
      </c>
    </row>
    <row r="113" spans="1:1" x14ac:dyDescent="0.45">
      <c r="A113" s="43" t="s">
        <v>232</v>
      </c>
    </row>
    <row r="114" spans="1:1" x14ac:dyDescent="0.45">
      <c r="A114" s="43" t="s">
        <v>233</v>
      </c>
    </row>
    <row r="115" spans="1:1" x14ac:dyDescent="0.45">
      <c r="A115" s="43" t="s">
        <v>234</v>
      </c>
    </row>
    <row r="116" spans="1:1" x14ac:dyDescent="0.45">
      <c r="A116" s="43" t="s">
        <v>235</v>
      </c>
    </row>
    <row r="117" spans="1:1" x14ac:dyDescent="0.45">
      <c r="A117" s="43" t="s">
        <v>236</v>
      </c>
    </row>
    <row r="118" spans="1:1" x14ac:dyDescent="0.45">
      <c r="A118" s="43" t="s">
        <v>237</v>
      </c>
    </row>
    <row r="119" spans="1:1" x14ac:dyDescent="0.45">
      <c r="A119" s="43" t="s">
        <v>238</v>
      </c>
    </row>
    <row r="120" spans="1:1" x14ac:dyDescent="0.45">
      <c r="A120" s="43" t="s">
        <v>239</v>
      </c>
    </row>
    <row r="121" spans="1:1" x14ac:dyDescent="0.45">
      <c r="A121" s="43" t="s">
        <v>240</v>
      </c>
    </row>
    <row r="122" spans="1:1" x14ac:dyDescent="0.45">
      <c r="A122" s="43" t="s">
        <v>241</v>
      </c>
    </row>
    <row r="123" spans="1:1" x14ac:dyDescent="0.45">
      <c r="A123" s="43" t="s">
        <v>242</v>
      </c>
    </row>
    <row r="124" spans="1:1" x14ac:dyDescent="0.45">
      <c r="A124" s="43" t="s">
        <v>243</v>
      </c>
    </row>
    <row r="125" spans="1:1" x14ac:dyDescent="0.45">
      <c r="A125" s="43" t="s">
        <v>244</v>
      </c>
    </row>
    <row r="126" spans="1:1" x14ac:dyDescent="0.45">
      <c r="A126" s="43" t="s">
        <v>245</v>
      </c>
    </row>
    <row r="127" spans="1:1" x14ac:dyDescent="0.45">
      <c r="A127" s="43" t="s">
        <v>246</v>
      </c>
    </row>
    <row r="128" spans="1:1" x14ac:dyDescent="0.45">
      <c r="A128" s="43" t="s">
        <v>247</v>
      </c>
    </row>
    <row r="129" spans="1:1" x14ac:dyDescent="0.45">
      <c r="A129" s="43" t="s">
        <v>248</v>
      </c>
    </row>
    <row r="130" spans="1:1" x14ac:dyDescent="0.45">
      <c r="A130" s="43" t="s">
        <v>249</v>
      </c>
    </row>
    <row r="131" spans="1:1" x14ac:dyDescent="0.45">
      <c r="A131" s="43" t="s">
        <v>250</v>
      </c>
    </row>
    <row r="132" spans="1:1" x14ac:dyDescent="0.45">
      <c r="A132" s="43" t="s">
        <v>251</v>
      </c>
    </row>
    <row r="133" spans="1:1" x14ac:dyDescent="0.45">
      <c r="A133" s="43" t="s">
        <v>252</v>
      </c>
    </row>
    <row r="134" spans="1:1" x14ac:dyDescent="0.45">
      <c r="A134" s="43" t="s">
        <v>253</v>
      </c>
    </row>
    <row r="135" spans="1:1" x14ac:dyDescent="0.45">
      <c r="A135" s="43" t="s">
        <v>254</v>
      </c>
    </row>
    <row r="136" spans="1:1" x14ac:dyDescent="0.45">
      <c r="A136" s="43" t="s">
        <v>255</v>
      </c>
    </row>
    <row r="137" spans="1:1" x14ac:dyDescent="0.45">
      <c r="A137" s="43" t="s">
        <v>256</v>
      </c>
    </row>
    <row r="138" spans="1:1" x14ac:dyDescent="0.45">
      <c r="A138" s="43" t="s">
        <v>257</v>
      </c>
    </row>
    <row r="139" spans="1:1" x14ac:dyDescent="0.45">
      <c r="A139" s="43" t="s">
        <v>258</v>
      </c>
    </row>
    <row r="140" spans="1:1" x14ac:dyDescent="0.45">
      <c r="A140" s="43" t="s">
        <v>259</v>
      </c>
    </row>
    <row r="141" spans="1:1" x14ac:dyDescent="0.45">
      <c r="A141" s="43" t="s">
        <v>260</v>
      </c>
    </row>
    <row r="142" spans="1:1" x14ac:dyDescent="0.45">
      <c r="A142" s="43" t="s">
        <v>261</v>
      </c>
    </row>
    <row r="143" spans="1:1" x14ac:dyDescent="0.45">
      <c r="A143" s="43" t="s">
        <v>262</v>
      </c>
    </row>
    <row r="144" spans="1:1" x14ac:dyDescent="0.45">
      <c r="A144" s="43" t="s">
        <v>263</v>
      </c>
    </row>
    <row r="145" spans="1:1" x14ac:dyDescent="0.45">
      <c r="A145" s="43" t="s">
        <v>264</v>
      </c>
    </row>
    <row r="146" spans="1:1" x14ac:dyDescent="0.45">
      <c r="A146" s="43" t="s">
        <v>265</v>
      </c>
    </row>
    <row r="147" spans="1:1" x14ac:dyDescent="0.45">
      <c r="A147" s="43" t="s">
        <v>266</v>
      </c>
    </row>
    <row r="148" spans="1:1" x14ac:dyDescent="0.45">
      <c r="A148" s="43" t="s">
        <v>267</v>
      </c>
    </row>
    <row r="149" spans="1:1" x14ac:dyDescent="0.45">
      <c r="A149" s="43" t="s">
        <v>268</v>
      </c>
    </row>
    <row r="150" spans="1:1" x14ac:dyDescent="0.45">
      <c r="A150" s="43" t="s">
        <v>269</v>
      </c>
    </row>
    <row r="151" spans="1:1" x14ac:dyDescent="0.45">
      <c r="A151" s="43" t="s">
        <v>270</v>
      </c>
    </row>
    <row r="152" spans="1:1" x14ac:dyDescent="0.45">
      <c r="A152" s="43" t="s">
        <v>271</v>
      </c>
    </row>
    <row r="153" spans="1:1" x14ac:dyDescent="0.45">
      <c r="A153" s="43" t="s">
        <v>272</v>
      </c>
    </row>
    <row r="154" spans="1:1" x14ac:dyDescent="0.45">
      <c r="A154" s="43" t="s">
        <v>273</v>
      </c>
    </row>
    <row r="155" spans="1:1" x14ac:dyDescent="0.45">
      <c r="A155" s="43" t="s">
        <v>274</v>
      </c>
    </row>
    <row r="156" spans="1:1" x14ac:dyDescent="0.45">
      <c r="A156" s="43" t="s">
        <v>275</v>
      </c>
    </row>
    <row r="157" spans="1:1" x14ac:dyDescent="0.45">
      <c r="A157" s="43" t="s">
        <v>276</v>
      </c>
    </row>
    <row r="158" spans="1:1" x14ac:dyDescent="0.45">
      <c r="A158" s="43" t="s">
        <v>277</v>
      </c>
    </row>
    <row r="159" spans="1:1" x14ac:dyDescent="0.45">
      <c r="A159" s="43" t="s">
        <v>278</v>
      </c>
    </row>
    <row r="160" spans="1:1" x14ac:dyDescent="0.45">
      <c r="A160" s="43" t="s">
        <v>279</v>
      </c>
    </row>
    <row r="161" spans="1:1" x14ac:dyDescent="0.45">
      <c r="A161" s="43" t="s">
        <v>280</v>
      </c>
    </row>
    <row r="162" spans="1:1" x14ac:dyDescent="0.45">
      <c r="A162" s="43" t="s">
        <v>281</v>
      </c>
    </row>
    <row r="163" spans="1:1" x14ac:dyDescent="0.45">
      <c r="A163" s="43" t="s">
        <v>282</v>
      </c>
    </row>
    <row r="164" spans="1:1" x14ac:dyDescent="0.45">
      <c r="A164" s="43" t="s">
        <v>283</v>
      </c>
    </row>
    <row r="165" spans="1:1" x14ac:dyDescent="0.45">
      <c r="A165" s="43" t="s">
        <v>284</v>
      </c>
    </row>
    <row r="166" spans="1:1" x14ac:dyDescent="0.45">
      <c r="A166" s="43" t="s">
        <v>285</v>
      </c>
    </row>
    <row r="167" spans="1:1" x14ac:dyDescent="0.45">
      <c r="A167" s="43" t="s">
        <v>286</v>
      </c>
    </row>
    <row r="168" spans="1:1" x14ac:dyDescent="0.45">
      <c r="A168" s="43" t="s">
        <v>287</v>
      </c>
    </row>
    <row r="169" spans="1:1" x14ac:dyDescent="0.45">
      <c r="A169" s="43" t="s">
        <v>288</v>
      </c>
    </row>
    <row r="170" spans="1:1" x14ac:dyDescent="0.45">
      <c r="A170" s="43" t="s">
        <v>289</v>
      </c>
    </row>
    <row r="171" spans="1:1" x14ac:dyDescent="0.45">
      <c r="A171" s="43" t="s">
        <v>290</v>
      </c>
    </row>
    <row r="172" spans="1:1" x14ac:dyDescent="0.45">
      <c r="A172" s="43" t="s">
        <v>291</v>
      </c>
    </row>
    <row r="173" spans="1:1" x14ac:dyDescent="0.45">
      <c r="A173" s="43" t="s">
        <v>292</v>
      </c>
    </row>
    <row r="174" spans="1:1" x14ac:dyDescent="0.45">
      <c r="A174" s="43" t="s">
        <v>293</v>
      </c>
    </row>
    <row r="175" spans="1:1" x14ac:dyDescent="0.45">
      <c r="A175" s="43" t="s">
        <v>294</v>
      </c>
    </row>
    <row r="176" spans="1:1" x14ac:dyDescent="0.45">
      <c r="A176" s="43" t="s">
        <v>295</v>
      </c>
    </row>
    <row r="177" spans="1:1" x14ac:dyDescent="0.45">
      <c r="A177" s="43" t="s">
        <v>296</v>
      </c>
    </row>
    <row r="178" spans="1:1" x14ac:dyDescent="0.45">
      <c r="A178" s="43" t="s">
        <v>297</v>
      </c>
    </row>
    <row r="179" spans="1:1" x14ac:dyDescent="0.45">
      <c r="A179" s="43" t="s">
        <v>298</v>
      </c>
    </row>
    <row r="180" spans="1:1" x14ac:dyDescent="0.45">
      <c r="A180" s="43" t="s">
        <v>299</v>
      </c>
    </row>
    <row r="181" spans="1:1" x14ac:dyDescent="0.45">
      <c r="A181" s="43" t="s">
        <v>300</v>
      </c>
    </row>
    <row r="182" spans="1:1" x14ac:dyDescent="0.45">
      <c r="A182" s="43" t="s">
        <v>301</v>
      </c>
    </row>
    <row r="183" spans="1:1" x14ac:dyDescent="0.45">
      <c r="A183" s="43" t="s">
        <v>302</v>
      </c>
    </row>
    <row r="184" spans="1:1" x14ac:dyDescent="0.45">
      <c r="A184" s="43" t="s">
        <v>303</v>
      </c>
    </row>
    <row r="185" spans="1:1" x14ac:dyDescent="0.45">
      <c r="A185" s="43" t="s">
        <v>304</v>
      </c>
    </row>
    <row r="186" spans="1:1" x14ac:dyDescent="0.45">
      <c r="A186" s="43" t="s">
        <v>305</v>
      </c>
    </row>
    <row r="187" spans="1:1" x14ac:dyDescent="0.45">
      <c r="A187" s="43" t="s">
        <v>306</v>
      </c>
    </row>
  </sheetData>
  <sheetProtection algorithmName="SHA-512" hashValue="k0VKLjPCO0IYdWUmoQ82NG3hhIHjpBeDRzVWAD9a7VrvlxW6Hi5iVfRAm+gSmWirHiYf7oI9BklpZ0+BIdZjew==" saltValue="WLWB/WnbdREtBiAtBNXl+Q==" spinCount="100000"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D50-BF77-4A1C-8028-34FF86EE25CE}">
  <sheetPr codeName="Sheet3"/>
  <dimension ref="A1:W135"/>
  <sheetViews>
    <sheetView topLeftCell="A42" zoomScale="70" zoomScaleNormal="70" workbookViewId="0"/>
  </sheetViews>
  <sheetFormatPr defaultRowHeight="18" x14ac:dyDescent="0.45"/>
  <cols>
    <col min="1" max="1" width="14.19921875" customWidth="1"/>
    <col min="2" max="2" width="14.09765625" customWidth="1"/>
    <col min="3" max="8" width="11.8984375" customWidth="1"/>
    <col min="9" max="9" width="13.09765625" customWidth="1"/>
    <col min="10" max="11" width="11.8984375" customWidth="1"/>
    <col min="12" max="12" width="9.3984375" bestFit="1" customWidth="1"/>
    <col min="13" max="13" width="14.19921875" customWidth="1"/>
    <col min="14" max="15" width="11.8984375" customWidth="1"/>
    <col min="16" max="16" width="13.8984375" customWidth="1"/>
    <col min="17" max="23" width="11.8984375" customWidth="1"/>
  </cols>
  <sheetData>
    <row r="1" spans="1:23" x14ac:dyDescent="0.45">
      <c r="A1" s="5" t="s">
        <v>48</v>
      </c>
      <c r="M1" t="s">
        <v>47</v>
      </c>
    </row>
    <row r="2" spans="1:23" x14ac:dyDescent="0.45">
      <c r="A2" s="3"/>
      <c r="B2" s="258" t="s">
        <v>41</v>
      </c>
      <c r="C2" s="259"/>
      <c r="D2" s="259"/>
      <c r="E2" s="259"/>
      <c r="F2" s="260"/>
      <c r="G2" s="258" t="s">
        <v>42</v>
      </c>
      <c r="H2" s="259"/>
      <c r="I2" s="259"/>
      <c r="J2" s="259"/>
      <c r="K2" s="260"/>
      <c r="M2" s="3"/>
      <c r="N2" s="258" t="s">
        <v>41</v>
      </c>
      <c r="O2" s="259"/>
      <c r="P2" s="259"/>
      <c r="Q2" s="259"/>
      <c r="R2" s="260"/>
      <c r="S2" s="258" t="s">
        <v>42</v>
      </c>
      <c r="T2" s="259"/>
      <c r="U2" s="259"/>
      <c r="V2" s="259"/>
      <c r="W2" s="260"/>
    </row>
    <row r="3" spans="1:23" x14ac:dyDescent="0.45">
      <c r="A3" s="4"/>
      <c r="B3" s="2" t="s">
        <v>1</v>
      </c>
      <c r="C3" s="16"/>
      <c r="D3" s="16"/>
      <c r="E3" s="16"/>
      <c r="F3" s="16"/>
      <c r="G3" s="2" t="s">
        <v>1</v>
      </c>
      <c r="H3" s="16"/>
      <c r="I3" s="16"/>
      <c r="J3" s="16"/>
      <c r="K3" s="16"/>
      <c r="M3" s="4"/>
      <c r="N3" s="2" t="s">
        <v>2</v>
      </c>
      <c r="O3" s="16"/>
      <c r="P3" s="16"/>
      <c r="Q3" s="16"/>
      <c r="R3" s="16"/>
      <c r="S3" s="2" t="s">
        <v>2</v>
      </c>
      <c r="T3" s="16"/>
      <c r="U3" s="16"/>
      <c r="V3" s="16"/>
      <c r="W3" s="16"/>
    </row>
    <row r="4" spans="1:23" x14ac:dyDescent="0.45">
      <c r="A4" s="1" t="s">
        <v>37</v>
      </c>
      <c r="B4" s="46">
        <v>280000</v>
      </c>
      <c r="C4" s="17"/>
      <c r="D4" s="17"/>
      <c r="E4" s="17"/>
      <c r="F4" s="17"/>
      <c r="G4" s="46">
        <v>260000</v>
      </c>
      <c r="H4" s="17"/>
      <c r="I4" s="17"/>
      <c r="J4" s="17"/>
      <c r="K4" s="17"/>
      <c r="M4" s="1" t="s">
        <v>37</v>
      </c>
      <c r="N4" s="46">
        <v>540000</v>
      </c>
      <c r="O4" s="17"/>
      <c r="P4" s="17"/>
      <c r="Q4" s="17"/>
      <c r="R4" s="17"/>
      <c r="S4" s="46">
        <v>700000</v>
      </c>
      <c r="T4" s="17"/>
      <c r="U4" s="17"/>
      <c r="V4" s="17"/>
      <c r="W4" s="17"/>
    </row>
    <row r="5" spans="1:23" x14ac:dyDescent="0.45">
      <c r="A5" s="1" t="s">
        <v>38</v>
      </c>
      <c r="B5" s="46">
        <v>170000</v>
      </c>
      <c r="C5" s="17"/>
      <c r="D5" s="17"/>
      <c r="E5" s="17"/>
      <c r="F5" s="17"/>
      <c r="G5" s="46">
        <v>250000</v>
      </c>
      <c r="H5" s="17"/>
      <c r="I5" s="17"/>
      <c r="J5" s="17"/>
      <c r="K5" s="17"/>
      <c r="M5" s="1" t="s">
        <v>38</v>
      </c>
      <c r="N5" s="46">
        <v>390000</v>
      </c>
      <c r="O5" s="17"/>
      <c r="P5" s="17"/>
      <c r="Q5" s="17"/>
      <c r="R5" s="17"/>
      <c r="S5" s="46">
        <v>620000</v>
      </c>
      <c r="T5" s="17"/>
      <c r="U5" s="17"/>
      <c r="V5" s="17"/>
      <c r="W5" s="17"/>
    </row>
    <row r="6" spans="1:23" x14ac:dyDescent="0.45">
      <c r="A6" s="1" t="s">
        <v>39</v>
      </c>
      <c r="B6" s="46">
        <v>80000</v>
      </c>
      <c r="C6" s="17"/>
      <c r="D6" s="17"/>
      <c r="E6" s="17"/>
      <c r="F6" s="17"/>
      <c r="G6" s="46">
        <v>130000</v>
      </c>
      <c r="H6" s="17"/>
      <c r="I6" s="17"/>
      <c r="J6" s="17"/>
      <c r="K6" s="17"/>
      <c r="M6" s="1" t="s">
        <v>39</v>
      </c>
      <c r="N6" s="46">
        <v>230000</v>
      </c>
      <c r="O6" s="17"/>
      <c r="P6" s="17"/>
      <c r="Q6" s="17"/>
      <c r="R6" s="17"/>
      <c r="S6" s="46">
        <v>700000</v>
      </c>
      <c r="T6" s="17"/>
      <c r="U6" s="17"/>
      <c r="V6" s="17"/>
      <c r="W6" s="17"/>
    </row>
    <row r="7" spans="1:23" x14ac:dyDescent="0.45">
      <c r="A7" s="1" t="s">
        <v>40</v>
      </c>
      <c r="B7" s="46">
        <v>70000</v>
      </c>
      <c r="C7" s="17"/>
      <c r="D7" s="17"/>
      <c r="E7" s="17"/>
      <c r="F7" s="17"/>
      <c r="G7" s="46">
        <v>160000</v>
      </c>
      <c r="H7" s="17"/>
      <c r="I7" s="17"/>
      <c r="J7" s="17"/>
      <c r="K7" s="17"/>
      <c r="M7" s="1" t="s">
        <v>40</v>
      </c>
      <c r="N7" s="46">
        <v>170000</v>
      </c>
      <c r="O7" s="17"/>
      <c r="P7" s="17"/>
      <c r="Q7" s="17"/>
      <c r="R7" s="17"/>
      <c r="S7" s="46">
        <v>590000</v>
      </c>
      <c r="T7" s="17"/>
      <c r="U7" s="17"/>
      <c r="V7" s="17"/>
      <c r="W7" s="17"/>
    </row>
    <row r="9" spans="1:23" x14ac:dyDescent="0.45">
      <c r="A9" s="6" t="s">
        <v>43</v>
      </c>
      <c r="B9" t="s">
        <v>16</v>
      </c>
      <c r="C9" t="s">
        <v>1926</v>
      </c>
      <c r="M9" s="6" t="s">
        <v>43</v>
      </c>
      <c r="N9" t="s">
        <v>16</v>
      </c>
    </row>
    <row r="10" spans="1:23" x14ac:dyDescent="0.45">
      <c r="A10" s="5" t="s">
        <v>46</v>
      </c>
      <c r="M10" t="s">
        <v>47</v>
      </c>
    </row>
    <row r="11" spans="1:23" ht="18.600000000000001" thickBot="1" x14ac:dyDescent="0.5">
      <c r="A11" s="3"/>
      <c r="B11" s="258" t="s">
        <v>41</v>
      </c>
      <c r="C11" s="259"/>
      <c r="D11" s="259"/>
      <c r="E11" s="259"/>
      <c r="F11" s="260"/>
      <c r="G11" s="258" t="s">
        <v>42</v>
      </c>
      <c r="H11" s="259"/>
      <c r="I11" s="259"/>
      <c r="J11" s="259"/>
      <c r="K11" s="260"/>
      <c r="M11" s="3"/>
      <c r="N11" s="258" t="s">
        <v>41</v>
      </c>
      <c r="O11" s="259"/>
      <c r="P11" s="259"/>
      <c r="Q11" s="259"/>
      <c r="R11" s="260"/>
      <c r="S11" s="258" t="s">
        <v>42</v>
      </c>
      <c r="T11" s="259"/>
      <c r="U11" s="259"/>
      <c r="V11" s="259"/>
      <c r="W11" s="260"/>
    </row>
    <row r="12" spans="1:23" x14ac:dyDescent="0.45">
      <c r="A12" s="4"/>
      <c r="B12" s="8" t="s">
        <v>1</v>
      </c>
      <c r="C12" s="10" t="s">
        <v>77</v>
      </c>
      <c r="D12" s="13" t="s">
        <v>78</v>
      </c>
      <c r="E12" s="10" t="s">
        <v>77</v>
      </c>
      <c r="F12" s="19" t="s">
        <v>62</v>
      </c>
      <c r="G12" s="7" t="s">
        <v>1</v>
      </c>
      <c r="H12" s="10" t="s">
        <v>77</v>
      </c>
      <c r="I12" s="13" t="s">
        <v>78</v>
      </c>
      <c r="J12" s="10" t="s">
        <v>77</v>
      </c>
      <c r="K12" s="19" t="s">
        <v>62</v>
      </c>
      <c r="M12" s="4"/>
      <c r="N12" s="8" t="s">
        <v>2</v>
      </c>
      <c r="O12" s="10" t="s">
        <v>77</v>
      </c>
      <c r="P12" s="13" t="s">
        <v>78</v>
      </c>
      <c r="Q12" s="10" t="s">
        <v>77</v>
      </c>
      <c r="R12" s="19" t="s">
        <v>62</v>
      </c>
      <c r="S12" s="8" t="s">
        <v>2</v>
      </c>
      <c r="T12" s="10" t="s">
        <v>77</v>
      </c>
      <c r="U12" s="13" t="s">
        <v>78</v>
      </c>
      <c r="V12" s="10" t="s">
        <v>77</v>
      </c>
      <c r="W12" s="19" t="s">
        <v>62</v>
      </c>
    </row>
    <row r="13" spans="1:23" x14ac:dyDescent="0.45">
      <c r="A13" s="1" t="s">
        <v>37</v>
      </c>
      <c r="B13" s="9">
        <f>B4</f>
        <v>280000</v>
      </c>
      <c r="C13" s="11">
        <f>ROUNDUP(B13,-2)</f>
        <v>280000</v>
      </c>
      <c r="D13" s="14">
        <f>シミュレーションシート!C17</f>
        <v>0</v>
      </c>
      <c r="E13" s="11">
        <f>ROUNDUP(D13,-2)</f>
        <v>0</v>
      </c>
      <c r="F13" s="20">
        <f>IF(B13&gt;D13,E13,C13)</f>
        <v>0</v>
      </c>
      <c r="G13" s="14">
        <f>G4</f>
        <v>260000</v>
      </c>
      <c r="H13" s="11">
        <f>ROUNDUP(G13,-2)</f>
        <v>260000</v>
      </c>
      <c r="I13" s="14">
        <f>シミュレーションシート!C17</f>
        <v>0</v>
      </c>
      <c r="J13" s="11">
        <f>ROUNDUP(I13,-2)</f>
        <v>0</v>
      </c>
      <c r="K13" s="20">
        <f>IF(G13&gt;I13,J13,H13)</f>
        <v>0</v>
      </c>
      <c r="M13" s="1" t="s">
        <v>37</v>
      </c>
      <c r="N13" s="9">
        <f>N4</f>
        <v>540000</v>
      </c>
      <c r="O13" s="11">
        <f>ROUNDUP(N13,-2)</f>
        <v>540000</v>
      </c>
      <c r="P13" s="14">
        <f>シミュレーションシート!K23</f>
        <v>0</v>
      </c>
      <c r="Q13" s="11">
        <f>ROUNDUP(P13,-2)</f>
        <v>0</v>
      </c>
      <c r="R13" s="18">
        <f>IF(N13&gt;P13,Q13,O13)</f>
        <v>0</v>
      </c>
      <c r="S13" s="9">
        <f>S4</f>
        <v>700000</v>
      </c>
      <c r="T13" s="11">
        <f>ROUNDUP(S13,-2)</f>
        <v>700000</v>
      </c>
      <c r="U13" s="14">
        <f>シミュレーションシート!K23</f>
        <v>0</v>
      </c>
      <c r="V13" s="11">
        <f>ROUNDUP(U13,-2)</f>
        <v>0</v>
      </c>
      <c r="W13" s="18">
        <f>IF(S13&gt;U13,V13,T13)</f>
        <v>0</v>
      </c>
    </row>
    <row r="14" spans="1:23" x14ac:dyDescent="0.45">
      <c r="A14" s="1" t="s">
        <v>38</v>
      </c>
      <c r="B14" s="9">
        <f t="shared" ref="B14:B16" si="0">B5</f>
        <v>170000</v>
      </c>
      <c r="C14" s="11">
        <f>ROUNDUP(B14,-2)</f>
        <v>170000</v>
      </c>
      <c r="D14" s="14">
        <f>シミュレーションシート!C17</f>
        <v>0</v>
      </c>
      <c r="E14" s="11">
        <f>ROUNDUP(D14,-2)</f>
        <v>0</v>
      </c>
      <c r="F14" s="20">
        <f>IF(B14&gt;D14,E14,C14)</f>
        <v>0</v>
      </c>
      <c r="G14" s="14">
        <f t="shared" ref="G14:G16" si="1">G5</f>
        <v>250000</v>
      </c>
      <c r="H14" s="11">
        <f>ROUNDUP(G14,-2)</f>
        <v>250000</v>
      </c>
      <c r="I14" s="14">
        <f>シミュレーションシート!C17</f>
        <v>0</v>
      </c>
      <c r="J14" s="11">
        <f>ROUNDUP(I14,-2)</f>
        <v>0</v>
      </c>
      <c r="K14" s="20">
        <f>IF(G14&gt;I14,J14,H14)</f>
        <v>0</v>
      </c>
      <c r="M14" s="1" t="s">
        <v>38</v>
      </c>
      <c r="N14" s="9">
        <f t="shared" ref="N14:N16" si="2">N5</f>
        <v>390000</v>
      </c>
      <c r="O14" s="11">
        <f>ROUNDUP(N14,-2)</f>
        <v>390000</v>
      </c>
      <c r="P14" s="14">
        <f>シミュレーションシート!K23</f>
        <v>0</v>
      </c>
      <c r="Q14" s="11">
        <f>ROUNDUP(P14,-2)</f>
        <v>0</v>
      </c>
      <c r="R14" s="18">
        <f>IF(N14&gt;P14,Q14,O14)</f>
        <v>0</v>
      </c>
      <c r="S14" s="9">
        <f t="shared" ref="S14:S16" si="3">S5</f>
        <v>620000</v>
      </c>
      <c r="T14" s="11">
        <f>ROUNDUP(S14,-2)</f>
        <v>620000</v>
      </c>
      <c r="U14" s="14">
        <f>シミュレーションシート!K23</f>
        <v>0</v>
      </c>
      <c r="V14" s="11">
        <f>ROUNDUP(U14,-2)</f>
        <v>0</v>
      </c>
      <c r="W14" s="18">
        <f>IF(S14&gt;U14,V14,T14)</f>
        <v>0</v>
      </c>
    </row>
    <row r="15" spans="1:23" x14ac:dyDescent="0.45">
      <c r="A15" s="1" t="s">
        <v>39</v>
      </c>
      <c r="B15" s="9">
        <f t="shared" si="0"/>
        <v>80000</v>
      </c>
      <c r="C15" s="11">
        <f>ROUNDUP(B15,-2)</f>
        <v>80000</v>
      </c>
      <c r="D15" s="14">
        <f>シミュレーションシート!C17</f>
        <v>0</v>
      </c>
      <c r="E15" s="11">
        <f>ROUNDUP(D15,-2)</f>
        <v>0</v>
      </c>
      <c r="F15" s="20">
        <f>IF(B15&gt;D15,E15,C15)</f>
        <v>0</v>
      </c>
      <c r="G15" s="14">
        <f t="shared" si="1"/>
        <v>130000</v>
      </c>
      <c r="H15" s="11">
        <f>ROUNDUP(G15,-2)</f>
        <v>130000</v>
      </c>
      <c r="I15" s="14">
        <f>シミュレーションシート!C17</f>
        <v>0</v>
      </c>
      <c r="J15" s="11">
        <f>ROUNDUP(I15,-2)</f>
        <v>0</v>
      </c>
      <c r="K15" s="20">
        <f>IF(G15&gt;I15,J15,H15)</f>
        <v>0</v>
      </c>
      <c r="M15" s="1" t="s">
        <v>39</v>
      </c>
      <c r="N15" s="9">
        <f t="shared" si="2"/>
        <v>230000</v>
      </c>
      <c r="O15" s="11">
        <f>ROUNDUP(N15,-2)</f>
        <v>230000</v>
      </c>
      <c r="P15" s="14">
        <f>シミュレーションシート!K23</f>
        <v>0</v>
      </c>
      <c r="Q15" s="11">
        <f>ROUNDUP(P15,-2)</f>
        <v>0</v>
      </c>
      <c r="R15" s="18">
        <f>IF(N15&gt;P15,Q15,O15)</f>
        <v>0</v>
      </c>
      <c r="S15" s="9">
        <f t="shared" si="3"/>
        <v>700000</v>
      </c>
      <c r="T15" s="11">
        <f>ROUNDUP(S15,-2)</f>
        <v>700000</v>
      </c>
      <c r="U15" s="14">
        <f>シミュレーションシート!K23</f>
        <v>0</v>
      </c>
      <c r="V15" s="11">
        <f>ROUNDUP(U15,-2)</f>
        <v>0</v>
      </c>
      <c r="W15" s="18">
        <f>IF(S15&gt;U15,V15,T15)</f>
        <v>0</v>
      </c>
    </row>
    <row r="16" spans="1:23" ht="18.600000000000001" thickBot="1" x14ac:dyDescent="0.5">
      <c r="A16" s="1" t="s">
        <v>40</v>
      </c>
      <c r="B16" s="9">
        <f t="shared" si="0"/>
        <v>70000</v>
      </c>
      <c r="C16" s="12">
        <f>ROUNDUP(B16,-2)</f>
        <v>70000</v>
      </c>
      <c r="D16" s="14">
        <f>シミュレーションシート!C17</f>
        <v>0</v>
      </c>
      <c r="E16" s="12">
        <f>ROUNDUP(D16,-2)</f>
        <v>0</v>
      </c>
      <c r="F16" s="20">
        <f>IF(B16&gt;D16,E16,C16)</f>
        <v>0</v>
      </c>
      <c r="G16" s="14">
        <f t="shared" si="1"/>
        <v>160000</v>
      </c>
      <c r="H16" s="12">
        <f>ROUNDUP(G16,-2)</f>
        <v>160000</v>
      </c>
      <c r="I16" s="14">
        <f>シミュレーションシート!C17</f>
        <v>0</v>
      </c>
      <c r="J16" s="12">
        <f>ROUNDUP(I16,-2)</f>
        <v>0</v>
      </c>
      <c r="K16" s="20">
        <f>IF(G16&gt;I16,J16,H16)</f>
        <v>0</v>
      </c>
      <c r="M16" s="1" t="s">
        <v>40</v>
      </c>
      <c r="N16" s="9">
        <f t="shared" si="2"/>
        <v>170000</v>
      </c>
      <c r="O16" s="12">
        <f>ROUNDUP(N16,-2)</f>
        <v>170000</v>
      </c>
      <c r="P16" s="14">
        <f>シミュレーションシート!K23</f>
        <v>0</v>
      </c>
      <c r="Q16" s="12">
        <f>ROUNDUP(P16,-2)</f>
        <v>0</v>
      </c>
      <c r="R16" s="18">
        <f>IF(N16&gt;P16,Q16,O16)</f>
        <v>0</v>
      </c>
      <c r="S16" s="9">
        <f t="shared" si="3"/>
        <v>590000</v>
      </c>
      <c r="T16" s="12">
        <f>ROUNDUP(S16,-2)</f>
        <v>590000</v>
      </c>
      <c r="U16" s="14">
        <f>シミュレーションシート!K23</f>
        <v>0</v>
      </c>
      <c r="V16" s="12">
        <f>ROUNDUP(U16,-2)</f>
        <v>0</v>
      </c>
      <c r="W16" s="18">
        <f>IF(S16&gt;U16,V16,T16)</f>
        <v>0</v>
      </c>
    </row>
    <row r="18" spans="1:23" x14ac:dyDescent="0.45">
      <c r="A18" s="6" t="s">
        <v>44</v>
      </c>
      <c r="B18" t="s">
        <v>16</v>
      </c>
      <c r="C18" t="s">
        <v>1927</v>
      </c>
      <c r="M18" s="6" t="s">
        <v>44</v>
      </c>
      <c r="N18" t="s">
        <v>16</v>
      </c>
    </row>
    <row r="19" spans="1:23" x14ac:dyDescent="0.45">
      <c r="A19" s="5" t="s">
        <v>46</v>
      </c>
      <c r="M19" t="s">
        <v>47</v>
      </c>
    </row>
    <row r="20" spans="1:23" ht="18.600000000000001" thickBot="1" x14ac:dyDescent="0.5">
      <c r="A20" s="3"/>
      <c r="B20" s="258" t="s">
        <v>41</v>
      </c>
      <c r="C20" s="259"/>
      <c r="D20" s="259"/>
      <c r="E20" s="259"/>
      <c r="F20" s="260"/>
      <c r="G20" s="258" t="s">
        <v>42</v>
      </c>
      <c r="H20" s="259"/>
      <c r="I20" s="259"/>
      <c r="J20" s="259"/>
      <c r="K20" s="260"/>
      <c r="M20" s="31"/>
      <c r="N20" s="261" t="s">
        <v>41</v>
      </c>
      <c r="O20" s="262"/>
      <c r="P20" s="261"/>
      <c r="Q20" s="262"/>
      <c r="R20" s="261"/>
      <c r="S20" s="259" t="s">
        <v>42</v>
      </c>
      <c r="T20" s="259"/>
      <c r="U20" s="259"/>
      <c r="V20" s="259"/>
      <c r="W20" s="260"/>
    </row>
    <row r="21" spans="1:23" x14ac:dyDescent="0.45">
      <c r="A21" s="4"/>
      <c r="B21" s="8" t="s">
        <v>1</v>
      </c>
      <c r="C21" s="10" t="s">
        <v>77</v>
      </c>
      <c r="D21" s="13" t="s">
        <v>78</v>
      </c>
      <c r="E21" s="10" t="s">
        <v>77</v>
      </c>
      <c r="F21" s="19" t="s">
        <v>62</v>
      </c>
      <c r="G21" s="7" t="s">
        <v>1</v>
      </c>
      <c r="H21" s="10" t="s">
        <v>77</v>
      </c>
      <c r="I21" s="13" t="s">
        <v>78</v>
      </c>
      <c r="J21" s="10" t="s">
        <v>77</v>
      </c>
      <c r="K21" s="19" t="s">
        <v>62</v>
      </c>
      <c r="M21" s="4"/>
      <c r="N21" s="32" t="s">
        <v>2</v>
      </c>
      <c r="O21" s="10" t="s">
        <v>77</v>
      </c>
      <c r="P21" s="33" t="s">
        <v>78</v>
      </c>
      <c r="Q21" s="10" t="s">
        <v>77</v>
      </c>
      <c r="R21" s="34" t="s">
        <v>62</v>
      </c>
      <c r="S21" s="8" t="s">
        <v>2</v>
      </c>
      <c r="T21" s="10" t="s">
        <v>77</v>
      </c>
      <c r="U21" s="13" t="s">
        <v>78</v>
      </c>
      <c r="V21" s="10" t="s">
        <v>77</v>
      </c>
      <c r="W21" s="19" t="s">
        <v>62</v>
      </c>
    </row>
    <row r="22" spans="1:23" x14ac:dyDescent="0.45">
      <c r="A22" s="1" t="s">
        <v>37</v>
      </c>
      <c r="B22" s="9">
        <f>B4*2/3</f>
        <v>186666.66666666666</v>
      </c>
      <c r="C22" s="11">
        <f>ROUNDUP(B22,-2)</f>
        <v>186700</v>
      </c>
      <c r="D22" s="14">
        <f>(シミュレーションシート!C17)*2/3</f>
        <v>0</v>
      </c>
      <c r="E22" s="11">
        <f>ROUNDUP(D22,-2)</f>
        <v>0</v>
      </c>
      <c r="F22" s="20">
        <f>IF(B22&gt;D22,E22,C22)</f>
        <v>0</v>
      </c>
      <c r="G22" s="14">
        <f>G4*2/3</f>
        <v>173333.33333333334</v>
      </c>
      <c r="H22" s="11">
        <f>ROUNDUP(G22,-2)</f>
        <v>173400</v>
      </c>
      <c r="I22" s="14">
        <f>(シミュレーションシート!C17)*2/3</f>
        <v>0</v>
      </c>
      <c r="J22" s="11">
        <f>ROUNDUP(I22,-2)</f>
        <v>0</v>
      </c>
      <c r="K22" s="20">
        <f>IF(G22&gt;I22,J22,H22)</f>
        <v>0</v>
      </c>
      <c r="M22" s="1" t="s">
        <v>37</v>
      </c>
      <c r="N22" s="9">
        <f>N4*2/3</f>
        <v>360000</v>
      </c>
      <c r="O22" s="11">
        <f>ROUNDUP(N22,-2)</f>
        <v>360000</v>
      </c>
      <c r="P22" s="14">
        <f>シミュレーションシート!K23*2/3</f>
        <v>0</v>
      </c>
      <c r="Q22" s="11">
        <f>ROUNDUP(P22,-2)</f>
        <v>0</v>
      </c>
      <c r="R22" s="18">
        <f>IF(N22&gt;P22,Q22,O22)</f>
        <v>0</v>
      </c>
      <c r="S22" s="9">
        <f>S4*2/3</f>
        <v>466666.66666666669</v>
      </c>
      <c r="T22" s="11">
        <f>ROUNDUP(S22,-2)</f>
        <v>466700</v>
      </c>
      <c r="U22" s="14">
        <f>シミュレーションシート!K23*2/3</f>
        <v>0</v>
      </c>
      <c r="V22" s="11">
        <f>ROUNDUP(U22,-2)</f>
        <v>0</v>
      </c>
      <c r="W22" s="18">
        <f>IF(S22&gt;U22,V22,T22)</f>
        <v>0</v>
      </c>
    </row>
    <row r="23" spans="1:23" x14ac:dyDescent="0.45">
      <c r="A23" s="1" t="s">
        <v>38</v>
      </c>
      <c r="B23" s="9">
        <f>B5*2/3</f>
        <v>113333.33333333333</v>
      </c>
      <c r="C23" s="11">
        <f>ROUNDUP(B23,-2)</f>
        <v>113400</v>
      </c>
      <c r="D23" s="14">
        <f>(シミュレーションシート!C17)*2/3</f>
        <v>0</v>
      </c>
      <c r="E23" s="11">
        <f>ROUNDUP(D23,-2)</f>
        <v>0</v>
      </c>
      <c r="F23" s="20">
        <f>IF(B23&gt;D23,E23,C23)</f>
        <v>0</v>
      </c>
      <c r="G23" s="14">
        <f>G5*2/3</f>
        <v>166666.66666666666</v>
      </c>
      <c r="H23" s="11">
        <f>ROUNDUP(G23,-2)</f>
        <v>166700</v>
      </c>
      <c r="I23" s="14">
        <f>(シミュレーションシート!C17)*2/3</f>
        <v>0</v>
      </c>
      <c r="J23" s="11">
        <f>ROUNDUP(I23,-2)</f>
        <v>0</v>
      </c>
      <c r="K23" s="20">
        <f>IF(G23&gt;I23,J23,H23)</f>
        <v>0</v>
      </c>
      <c r="M23" s="1" t="s">
        <v>38</v>
      </c>
      <c r="N23" s="9">
        <f>N5*2/3</f>
        <v>260000</v>
      </c>
      <c r="O23" s="11">
        <f>ROUNDUP(N23,-2)</f>
        <v>260000</v>
      </c>
      <c r="P23" s="14">
        <f>シミュレーションシート!K23*2/3</f>
        <v>0</v>
      </c>
      <c r="Q23" s="11">
        <f>ROUNDUP(P23,-2)</f>
        <v>0</v>
      </c>
      <c r="R23" s="18">
        <f>IF(N23&gt;P23,Q23,O23)</f>
        <v>0</v>
      </c>
      <c r="S23" s="9">
        <f>S5*2/3</f>
        <v>413333.33333333331</v>
      </c>
      <c r="T23" s="11">
        <f>ROUNDUP(S23,-2)</f>
        <v>413400</v>
      </c>
      <c r="U23" s="14">
        <f>シミュレーションシート!K23*2/3</f>
        <v>0</v>
      </c>
      <c r="V23" s="11">
        <f>ROUNDUP(U23,-2)</f>
        <v>0</v>
      </c>
      <c r="W23" s="18">
        <f>IF(S23&gt;U23,V23,T23)</f>
        <v>0</v>
      </c>
    </row>
    <row r="24" spans="1:23" x14ac:dyDescent="0.45">
      <c r="A24" s="1" t="s">
        <v>39</v>
      </c>
      <c r="B24" s="9">
        <f>B6*2/3</f>
        <v>53333.333333333336</v>
      </c>
      <c r="C24" s="11">
        <f>ROUNDUP(B24,-2)</f>
        <v>53400</v>
      </c>
      <c r="D24" s="14">
        <f>(シミュレーションシート!C17)*2/3</f>
        <v>0</v>
      </c>
      <c r="E24" s="11">
        <f>ROUNDUP(D24,-2)</f>
        <v>0</v>
      </c>
      <c r="F24" s="20">
        <f>IF(B24&gt;D24,E24,C24)</f>
        <v>0</v>
      </c>
      <c r="G24" s="14">
        <f>G6*2/3</f>
        <v>86666.666666666672</v>
      </c>
      <c r="H24" s="11">
        <f>ROUNDUP(G24,-2)</f>
        <v>86700</v>
      </c>
      <c r="I24" s="14">
        <f>(シミュレーションシート!C17)*2/3</f>
        <v>0</v>
      </c>
      <c r="J24" s="11">
        <f>ROUNDUP(I24,-2)</f>
        <v>0</v>
      </c>
      <c r="K24" s="20">
        <f>IF(G24&gt;I24,J24,H24)</f>
        <v>0</v>
      </c>
      <c r="M24" s="1" t="s">
        <v>39</v>
      </c>
      <c r="N24" s="9">
        <f>N6*2/3</f>
        <v>153333.33333333334</v>
      </c>
      <c r="O24" s="11">
        <f>ROUNDUP(N24,-2)</f>
        <v>153400</v>
      </c>
      <c r="P24" s="14">
        <f>シミュレーションシート!K23*2/3</f>
        <v>0</v>
      </c>
      <c r="Q24" s="11">
        <f>ROUNDUP(P24,-2)</f>
        <v>0</v>
      </c>
      <c r="R24" s="18">
        <f>IF(N24&gt;P24,Q24,O24)</f>
        <v>0</v>
      </c>
      <c r="S24" s="9">
        <f>S6*2/3</f>
        <v>466666.66666666669</v>
      </c>
      <c r="T24" s="11">
        <f>ROUNDUP(S24,-2)</f>
        <v>466700</v>
      </c>
      <c r="U24" s="14">
        <f>シミュレーションシート!K23*2/3</f>
        <v>0</v>
      </c>
      <c r="V24" s="11">
        <f>ROUNDUP(U24,-2)</f>
        <v>0</v>
      </c>
      <c r="W24" s="18">
        <f>IF(S24&gt;U24,V24,T24)</f>
        <v>0</v>
      </c>
    </row>
    <row r="25" spans="1:23" ht="18.600000000000001" thickBot="1" x14ac:dyDescent="0.5">
      <c r="A25" s="1" t="s">
        <v>40</v>
      </c>
      <c r="B25" s="9">
        <f>B7*2/3</f>
        <v>46666.666666666664</v>
      </c>
      <c r="C25" s="12">
        <f>ROUNDUP(B25,-2)</f>
        <v>46700</v>
      </c>
      <c r="D25" s="14">
        <f>(シミュレーションシート!C17)*2/3</f>
        <v>0</v>
      </c>
      <c r="E25" s="12">
        <f>ROUNDUP(D25,-2)</f>
        <v>0</v>
      </c>
      <c r="F25" s="20">
        <f>IF(B25&gt;D25,E25,C25)</f>
        <v>0</v>
      </c>
      <c r="G25" s="14">
        <f>G7*2/3</f>
        <v>106666.66666666667</v>
      </c>
      <c r="H25" s="12">
        <f>ROUNDUP(G25,-2)</f>
        <v>106700</v>
      </c>
      <c r="I25" s="14">
        <f>(シミュレーションシート!C17)*2/3</f>
        <v>0</v>
      </c>
      <c r="J25" s="12">
        <f>ROUNDUP(I25,-2)</f>
        <v>0</v>
      </c>
      <c r="K25" s="20">
        <f>IF(G25&gt;I25,J25,H25)</f>
        <v>0</v>
      </c>
      <c r="M25" s="1" t="s">
        <v>40</v>
      </c>
      <c r="N25" s="9">
        <f>N7*2/3</f>
        <v>113333.33333333333</v>
      </c>
      <c r="O25" s="12">
        <f>ROUNDUP(N25,-2)</f>
        <v>113400</v>
      </c>
      <c r="P25" s="14">
        <f>シミュレーションシート!K23*2/3</f>
        <v>0</v>
      </c>
      <c r="Q25" s="12">
        <f>ROUNDUP(P25,-2)</f>
        <v>0</v>
      </c>
      <c r="R25" s="18">
        <f>IF(N25&gt;P25,Q25,O25)</f>
        <v>0</v>
      </c>
      <c r="S25" s="9">
        <f>S7*2/3</f>
        <v>393333.33333333331</v>
      </c>
      <c r="T25" s="12">
        <f>ROUNDUP(S25,-2)</f>
        <v>393400</v>
      </c>
      <c r="U25" s="14">
        <f>シミュレーションシート!K23*2/3</f>
        <v>0</v>
      </c>
      <c r="V25" s="12">
        <f>ROUNDUP(U25,-2)</f>
        <v>0</v>
      </c>
      <c r="W25" s="18">
        <f>IF(S25&gt;U25,V25,T25)</f>
        <v>0</v>
      </c>
    </row>
    <row r="27" spans="1:23" x14ac:dyDescent="0.45">
      <c r="A27" s="6" t="s">
        <v>45</v>
      </c>
      <c r="B27" t="s">
        <v>16</v>
      </c>
      <c r="C27" t="s">
        <v>1928</v>
      </c>
      <c r="M27" s="6" t="s">
        <v>45</v>
      </c>
      <c r="N27" t="s">
        <v>16</v>
      </c>
    </row>
    <row r="28" spans="1:23" x14ac:dyDescent="0.45">
      <c r="A28" s="5" t="s">
        <v>46</v>
      </c>
      <c r="M28" t="s">
        <v>47</v>
      </c>
    </row>
    <row r="29" spans="1:23" ht="18.600000000000001" thickBot="1" x14ac:dyDescent="0.5">
      <c r="A29" s="3"/>
      <c r="B29" s="258" t="s">
        <v>41</v>
      </c>
      <c r="C29" s="259"/>
      <c r="D29" s="259"/>
      <c r="E29" s="259"/>
      <c r="F29" s="260"/>
      <c r="G29" s="258" t="s">
        <v>42</v>
      </c>
      <c r="H29" s="259"/>
      <c r="I29" s="259"/>
      <c r="J29" s="259"/>
      <c r="K29" s="260"/>
      <c r="M29" s="3"/>
      <c r="N29" s="258" t="s">
        <v>41</v>
      </c>
      <c r="O29" s="259"/>
      <c r="P29" s="259"/>
      <c r="Q29" s="259"/>
      <c r="R29" s="260"/>
      <c r="S29" s="258" t="s">
        <v>42</v>
      </c>
      <c r="T29" s="259"/>
      <c r="U29" s="259"/>
      <c r="V29" s="259"/>
      <c r="W29" s="260"/>
    </row>
    <row r="30" spans="1:23" x14ac:dyDescent="0.45">
      <c r="A30" s="4"/>
      <c r="B30" s="8" t="s">
        <v>1</v>
      </c>
      <c r="C30" s="10" t="s">
        <v>77</v>
      </c>
      <c r="D30" s="13" t="s">
        <v>78</v>
      </c>
      <c r="E30" s="10" t="s">
        <v>77</v>
      </c>
      <c r="F30" s="19" t="s">
        <v>62</v>
      </c>
      <c r="G30" s="7" t="s">
        <v>1</v>
      </c>
      <c r="H30" s="10" t="s">
        <v>77</v>
      </c>
      <c r="I30" s="13" t="s">
        <v>78</v>
      </c>
      <c r="J30" s="10" t="s">
        <v>77</v>
      </c>
      <c r="K30" s="19" t="s">
        <v>62</v>
      </c>
      <c r="M30" s="4"/>
      <c r="N30" s="8" t="s">
        <v>2</v>
      </c>
      <c r="O30" s="10" t="s">
        <v>77</v>
      </c>
      <c r="P30" s="13" t="s">
        <v>78</v>
      </c>
      <c r="Q30" s="10" t="s">
        <v>77</v>
      </c>
      <c r="R30" s="19" t="s">
        <v>62</v>
      </c>
      <c r="S30" s="8" t="s">
        <v>2</v>
      </c>
      <c r="T30" s="10" t="s">
        <v>77</v>
      </c>
      <c r="U30" s="13" t="s">
        <v>78</v>
      </c>
      <c r="V30" s="10" t="s">
        <v>77</v>
      </c>
      <c r="W30" s="19" t="s">
        <v>62</v>
      </c>
    </row>
    <row r="31" spans="1:23" x14ac:dyDescent="0.45">
      <c r="A31" s="1" t="s">
        <v>37</v>
      </c>
      <c r="B31" s="9">
        <f>B4*1/3</f>
        <v>93333.333333333328</v>
      </c>
      <c r="C31" s="11">
        <f>ROUNDUP(B31,-2)</f>
        <v>93400</v>
      </c>
      <c r="D31" s="14">
        <f>(シミュレーションシート!C17)*1/3</f>
        <v>0</v>
      </c>
      <c r="E31" s="11">
        <f>ROUNDUP(D31,-2)</f>
        <v>0</v>
      </c>
      <c r="F31" s="20">
        <f>IF(B31&gt;D31,E31,C31)</f>
        <v>0</v>
      </c>
      <c r="G31" s="14">
        <f>G4*1/3</f>
        <v>86666.666666666672</v>
      </c>
      <c r="H31" s="11">
        <f>ROUNDUP(G31,-2)</f>
        <v>86700</v>
      </c>
      <c r="I31" s="14">
        <f>(シミュレーションシート!C17)*1/3</f>
        <v>0</v>
      </c>
      <c r="J31" s="11">
        <f>ROUNDUP(I31,-2)</f>
        <v>0</v>
      </c>
      <c r="K31" s="20">
        <f>IF(G31&gt;I31,J31,H31)</f>
        <v>0</v>
      </c>
      <c r="M31" s="1" t="s">
        <v>37</v>
      </c>
      <c r="N31" s="9">
        <f>N4*1/3</f>
        <v>180000</v>
      </c>
      <c r="O31" s="11">
        <f>ROUNDUP(N31,-2)</f>
        <v>180000</v>
      </c>
      <c r="P31" s="14">
        <f>シミュレーションシート!K23*1/3</f>
        <v>0</v>
      </c>
      <c r="Q31" s="11">
        <f>ROUNDUP(P31,-2)</f>
        <v>0</v>
      </c>
      <c r="R31" s="18">
        <f>IF(N31&gt;P31,Q31,O31)</f>
        <v>0</v>
      </c>
      <c r="S31" s="9">
        <f>S4*1/3</f>
        <v>233333.33333333334</v>
      </c>
      <c r="T31" s="11">
        <f>ROUNDUP(S31,-2)</f>
        <v>233400</v>
      </c>
      <c r="U31" s="14">
        <f>シミュレーションシート!K23*1/3</f>
        <v>0</v>
      </c>
      <c r="V31" s="11">
        <f>ROUNDUP(U31,-2)</f>
        <v>0</v>
      </c>
      <c r="W31" s="20">
        <f>IF(S31&gt;U31,V31,T31)</f>
        <v>0</v>
      </c>
    </row>
    <row r="32" spans="1:23" x14ac:dyDescent="0.45">
      <c r="A32" s="1" t="s">
        <v>38</v>
      </c>
      <c r="B32" s="9">
        <f>B5*1/3</f>
        <v>56666.666666666664</v>
      </c>
      <c r="C32" s="11">
        <f>ROUNDUP(B32,-2)</f>
        <v>56700</v>
      </c>
      <c r="D32" s="14">
        <f>(シミュレーションシート!C17)*1/3</f>
        <v>0</v>
      </c>
      <c r="E32" s="11">
        <f>ROUNDUP(D32,-2)</f>
        <v>0</v>
      </c>
      <c r="F32" s="20">
        <f>IF(B32&gt;D32,E32,C32)</f>
        <v>0</v>
      </c>
      <c r="G32" s="14">
        <f>G5*1/3</f>
        <v>83333.333333333328</v>
      </c>
      <c r="H32" s="11">
        <f>ROUNDUP(G32,-2)</f>
        <v>83400</v>
      </c>
      <c r="I32" s="14">
        <f>(シミュレーションシート!C17)*1/3</f>
        <v>0</v>
      </c>
      <c r="J32" s="11">
        <f>ROUNDUP(I32,-2)</f>
        <v>0</v>
      </c>
      <c r="K32" s="20">
        <f>IF(G32&gt;I32,J32,H32)</f>
        <v>0</v>
      </c>
      <c r="M32" s="1" t="s">
        <v>38</v>
      </c>
      <c r="N32" s="9">
        <f>N5*1/3</f>
        <v>130000</v>
      </c>
      <c r="O32" s="11">
        <f>ROUNDUP(N32,-2)</f>
        <v>130000</v>
      </c>
      <c r="P32" s="14">
        <f>シミュレーションシート!K23*1/3</f>
        <v>0</v>
      </c>
      <c r="Q32" s="11">
        <f>ROUNDUP(P32,-2)</f>
        <v>0</v>
      </c>
      <c r="R32" s="18">
        <f>IF(N32&gt;P32,Q32,O32)</f>
        <v>0</v>
      </c>
      <c r="S32" s="9">
        <f>S5*1/3</f>
        <v>206666.66666666666</v>
      </c>
      <c r="T32" s="11">
        <f>ROUNDUP(S32,-2)</f>
        <v>206700</v>
      </c>
      <c r="U32" s="14">
        <f>シミュレーションシート!K23*1/3</f>
        <v>0</v>
      </c>
      <c r="V32" s="11">
        <f>ROUNDUP(U32,-2)</f>
        <v>0</v>
      </c>
      <c r="W32" s="20">
        <f>IF(S32&gt;U32,V32,T32)</f>
        <v>0</v>
      </c>
    </row>
    <row r="33" spans="1:23" x14ac:dyDescent="0.45">
      <c r="A33" s="1" t="s">
        <v>39</v>
      </c>
      <c r="B33" s="9">
        <f>B6*1/3</f>
        <v>26666.666666666668</v>
      </c>
      <c r="C33" s="11">
        <f>ROUNDUP(B33,-2)</f>
        <v>26700</v>
      </c>
      <c r="D33" s="14">
        <f>(シミュレーションシート!C17)*1/3</f>
        <v>0</v>
      </c>
      <c r="E33" s="11">
        <f>ROUNDUP(D33,-2)</f>
        <v>0</v>
      </c>
      <c r="F33" s="20">
        <f>IF(B33&gt;D33,E33,C33)</f>
        <v>0</v>
      </c>
      <c r="G33" s="14">
        <f>G6*1/3</f>
        <v>43333.333333333336</v>
      </c>
      <c r="H33" s="11">
        <f>ROUNDUP(G33,-2)</f>
        <v>43400</v>
      </c>
      <c r="I33" s="14">
        <f>(シミュレーションシート!C17)*1/3</f>
        <v>0</v>
      </c>
      <c r="J33" s="11">
        <f>ROUNDUP(I33,-2)</f>
        <v>0</v>
      </c>
      <c r="K33" s="20">
        <f>IF(G33&gt;I33,J33,H33)</f>
        <v>0</v>
      </c>
      <c r="M33" s="1" t="s">
        <v>39</v>
      </c>
      <c r="N33" s="9">
        <f>N6*1/3</f>
        <v>76666.666666666672</v>
      </c>
      <c r="O33" s="11">
        <f>ROUNDUP(N33,-2)</f>
        <v>76700</v>
      </c>
      <c r="P33" s="14">
        <f>シミュレーションシート!K23*1/3</f>
        <v>0</v>
      </c>
      <c r="Q33" s="11">
        <f>ROUNDUP(P33,-2)</f>
        <v>0</v>
      </c>
      <c r="R33" s="18">
        <f>IF(N33&gt;P33,Q33,O33)</f>
        <v>0</v>
      </c>
      <c r="S33" s="9">
        <f>S6*1/3</f>
        <v>233333.33333333334</v>
      </c>
      <c r="T33" s="11">
        <f>ROUNDUP(S33,-2)</f>
        <v>233400</v>
      </c>
      <c r="U33" s="14">
        <f>シミュレーションシート!K23*1/3</f>
        <v>0</v>
      </c>
      <c r="V33" s="11">
        <f>ROUNDUP(U33,-2)</f>
        <v>0</v>
      </c>
      <c r="W33" s="20">
        <f>IF(S33&gt;U33,V33,T33)</f>
        <v>0</v>
      </c>
    </row>
    <row r="34" spans="1:23" ht="18.600000000000001" thickBot="1" x14ac:dyDescent="0.5">
      <c r="A34" s="1" t="s">
        <v>40</v>
      </c>
      <c r="B34" s="9">
        <f>B7*1/3</f>
        <v>23333.333333333332</v>
      </c>
      <c r="C34" s="12">
        <f>ROUNDUP(B34,-2)</f>
        <v>23400</v>
      </c>
      <c r="D34" s="14">
        <f>(シミュレーションシート!C17)*1/3</f>
        <v>0</v>
      </c>
      <c r="E34" s="12">
        <f>ROUNDUP(D34,-2)</f>
        <v>0</v>
      </c>
      <c r="F34" s="20">
        <f>IF(B34&gt;D34,E34,C34)</f>
        <v>0</v>
      </c>
      <c r="G34" s="14">
        <f>G7*1/3</f>
        <v>53333.333333333336</v>
      </c>
      <c r="H34" s="12">
        <f>ROUNDUP(G34,-2)</f>
        <v>53400</v>
      </c>
      <c r="I34" s="14">
        <f>(シミュレーションシート!C17)*1/3</f>
        <v>0</v>
      </c>
      <c r="J34" s="12">
        <f>ROUNDUP(I34,-2)</f>
        <v>0</v>
      </c>
      <c r="K34" s="20">
        <f>IF(G34&gt;I34,J34,H34)</f>
        <v>0</v>
      </c>
      <c r="M34" s="1" t="s">
        <v>40</v>
      </c>
      <c r="N34" s="9">
        <f>N7*1/3</f>
        <v>56666.666666666664</v>
      </c>
      <c r="O34" s="12">
        <f>ROUNDUP(N34,-2)</f>
        <v>56700</v>
      </c>
      <c r="P34" s="14">
        <f>シミュレーションシート!K23*1/3</f>
        <v>0</v>
      </c>
      <c r="Q34" s="12">
        <f>ROUNDUP(P34,-2)</f>
        <v>0</v>
      </c>
      <c r="R34" s="18">
        <f>IF(N34&gt;P34,Q34,O34)</f>
        <v>0</v>
      </c>
      <c r="S34" s="9">
        <f>S7*1/3</f>
        <v>196666.66666666666</v>
      </c>
      <c r="T34" s="12">
        <f>ROUNDUP(S34,-2)</f>
        <v>196700</v>
      </c>
      <c r="U34" s="14">
        <f>シミュレーションシート!K23*1/3</f>
        <v>0</v>
      </c>
      <c r="V34" s="12">
        <f>ROUNDUP(U34,-2)</f>
        <v>0</v>
      </c>
      <c r="W34" s="20">
        <f>IF(S34&gt;U34,V34,T34)</f>
        <v>0</v>
      </c>
    </row>
    <row r="36" spans="1:23" x14ac:dyDescent="0.45">
      <c r="A36" s="55" t="s">
        <v>1923</v>
      </c>
      <c r="B36" t="s">
        <v>16</v>
      </c>
      <c r="C36" s="56" t="s">
        <v>1925</v>
      </c>
      <c r="D36" s="56"/>
      <c r="E36" s="56"/>
      <c r="F36" s="56"/>
      <c r="M36" s="6" t="s">
        <v>1923</v>
      </c>
      <c r="N36" t="s">
        <v>16</v>
      </c>
    </row>
    <row r="37" spans="1:23" x14ac:dyDescent="0.45">
      <c r="A37" s="5" t="s">
        <v>46</v>
      </c>
      <c r="M37" t="s">
        <v>47</v>
      </c>
    </row>
    <row r="38" spans="1:23" ht="18.600000000000001" thickBot="1" x14ac:dyDescent="0.5">
      <c r="A38" s="3"/>
      <c r="B38" s="258" t="s">
        <v>41</v>
      </c>
      <c r="C38" s="259"/>
      <c r="D38" s="259"/>
      <c r="E38" s="259"/>
      <c r="F38" s="260"/>
      <c r="G38" s="258" t="s">
        <v>42</v>
      </c>
      <c r="H38" s="259"/>
      <c r="I38" s="259"/>
      <c r="J38" s="259"/>
      <c r="K38" s="260"/>
      <c r="M38" s="3"/>
      <c r="N38" s="258" t="s">
        <v>41</v>
      </c>
      <c r="O38" s="259"/>
      <c r="P38" s="259"/>
      <c r="Q38" s="259"/>
      <c r="R38" s="260"/>
      <c r="S38" s="258" t="s">
        <v>42</v>
      </c>
      <c r="T38" s="259"/>
      <c r="U38" s="259"/>
      <c r="V38" s="259"/>
      <c r="W38" s="260"/>
    </row>
    <row r="39" spans="1:23" x14ac:dyDescent="0.45">
      <c r="A39" s="4"/>
      <c r="B39" s="8" t="s">
        <v>1</v>
      </c>
      <c r="C39" s="10" t="s">
        <v>77</v>
      </c>
      <c r="D39" s="13" t="s">
        <v>78</v>
      </c>
      <c r="E39" s="10" t="s">
        <v>77</v>
      </c>
      <c r="F39" s="19" t="s">
        <v>62</v>
      </c>
      <c r="G39" s="7" t="s">
        <v>1</v>
      </c>
      <c r="H39" s="10" t="s">
        <v>77</v>
      </c>
      <c r="I39" s="13" t="s">
        <v>78</v>
      </c>
      <c r="J39" s="10" t="s">
        <v>77</v>
      </c>
      <c r="K39" s="19" t="s">
        <v>62</v>
      </c>
      <c r="M39" s="4"/>
      <c r="N39" s="8" t="s">
        <v>2</v>
      </c>
      <c r="O39" s="10" t="s">
        <v>77</v>
      </c>
      <c r="P39" s="13" t="s">
        <v>78</v>
      </c>
      <c r="Q39" s="10" t="s">
        <v>77</v>
      </c>
      <c r="R39" s="19" t="s">
        <v>62</v>
      </c>
      <c r="S39" s="8" t="s">
        <v>2</v>
      </c>
      <c r="T39" s="10" t="s">
        <v>77</v>
      </c>
      <c r="U39" s="13" t="s">
        <v>78</v>
      </c>
      <c r="V39" s="10" t="s">
        <v>77</v>
      </c>
      <c r="W39" s="19" t="s">
        <v>62</v>
      </c>
    </row>
    <row r="40" spans="1:23" x14ac:dyDescent="0.45">
      <c r="A40" s="1" t="s">
        <v>37</v>
      </c>
      <c r="B40" s="9">
        <f>B4</f>
        <v>280000</v>
      </c>
      <c r="C40" s="11">
        <f>ROUNDUP(B40,-2)</f>
        <v>280000</v>
      </c>
      <c r="D40" s="14">
        <f>シミュレーションシート!C17</f>
        <v>0</v>
      </c>
      <c r="E40" s="11">
        <f>ROUNDUP(D40,-2)</f>
        <v>0</v>
      </c>
      <c r="F40" s="20">
        <f>IF(B40&gt;D40,E40,C40)</f>
        <v>0</v>
      </c>
      <c r="G40" s="14">
        <f>G4</f>
        <v>260000</v>
      </c>
      <c r="H40" s="11">
        <f>ROUNDUP(G40,-2)</f>
        <v>260000</v>
      </c>
      <c r="I40" s="14">
        <f>シミュレーションシート!C17</f>
        <v>0</v>
      </c>
      <c r="J40" s="11">
        <f>ROUNDUP(I40,-2)</f>
        <v>0</v>
      </c>
      <c r="K40" s="20">
        <f>IF(G40&gt;I40,J40,H40)</f>
        <v>0</v>
      </c>
      <c r="M40" s="1" t="s">
        <v>37</v>
      </c>
      <c r="N40" s="9">
        <f>N4</f>
        <v>540000</v>
      </c>
      <c r="O40" s="11">
        <f>ROUNDUP(N40,-2)</f>
        <v>540000</v>
      </c>
      <c r="P40" s="14">
        <f>シミュレーションシート!K23</f>
        <v>0</v>
      </c>
      <c r="Q40" s="11">
        <f>ROUNDUP(P40,-2)</f>
        <v>0</v>
      </c>
      <c r="R40" s="18">
        <f>IF(N40&gt;P40,Q40,O40)</f>
        <v>0</v>
      </c>
      <c r="S40" s="9">
        <f>S4</f>
        <v>700000</v>
      </c>
      <c r="T40" s="11">
        <f>ROUNDUP(S40,-2)</f>
        <v>700000</v>
      </c>
      <c r="U40" s="14">
        <f>シミュレーションシート!K23</f>
        <v>0</v>
      </c>
      <c r="V40" s="11">
        <f>ROUNDUP(U40,-2)</f>
        <v>0</v>
      </c>
      <c r="W40" s="20">
        <f>IF(S40&gt;U40,V40,T40)</f>
        <v>0</v>
      </c>
    </row>
    <row r="41" spans="1:23" x14ac:dyDescent="0.45">
      <c r="A41" s="1" t="s">
        <v>38</v>
      </c>
      <c r="B41" s="9">
        <f>B5</f>
        <v>170000</v>
      </c>
      <c r="C41" s="11">
        <f>ROUNDUP(B41,-2)</f>
        <v>170000</v>
      </c>
      <c r="D41" s="14">
        <f>シミュレーションシート!C17</f>
        <v>0</v>
      </c>
      <c r="E41" s="11">
        <f>ROUNDUP(D41,-2)</f>
        <v>0</v>
      </c>
      <c r="F41" s="20">
        <f>IF(B41&gt;D41,E41,C41)</f>
        <v>0</v>
      </c>
      <c r="G41" s="14">
        <f>G5</f>
        <v>250000</v>
      </c>
      <c r="H41" s="11">
        <f>ROUNDUP(G41,-2)</f>
        <v>250000</v>
      </c>
      <c r="I41" s="14">
        <f>シミュレーションシート!C17</f>
        <v>0</v>
      </c>
      <c r="J41" s="11">
        <f>ROUNDUP(I41,-2)</f>
        <v>0</v>
      </c>
      <c r="K41" s="20">
        <f>IF(G41&gt;I41,J41,H41)</f>
        <v>0</v>
      </c>
      <c r="M41" s="1" t="s">
        <v>38</v>
      </c>
      <c r="N41" s="9">
        <f>N5</f>
        <v>390000</v>
      </c>
      <c r="O41" s="11">
        <f>ROUNDUP(N41,-2)</f>
        <v>390000</v>
      </c>
      <c r="P41" s="14">
        <f>シミュレーションシート!K23</f>
        <v>0</v>
      </c>
      <c r="Q41" s="11">
        <f>ROUNDUP(P41,-2)</f>
        <v>0</v>
      </c>
      <c r="R41" s="18">
        <f>IF(N41&gt;P41,Q41,O41)</f>
        <v>0</v>
      </c>
      <c r="S41" s="9">
        <f>S5</f>
        <v>620000</v>
      </c>
      <c r="T41" s="11">
        <f>ROUNDUP(S41,-2)</f>
        <v>620000</v>
      </c>
      <c r="U41" s="14">
        <f>シミュレーションシート!K23</f>
        <v>0</v>
      </c>
      <c r="V41" s="11">
        <f>ROUNDUP(U41,-2)</f>
        <v>0</v>
      </c>
      <c r="W41" s="20">
        <f>IF(S41&gt;U41,V41,T41)</f>
        <v>0</v>
      </c>
    </row>
    <row r="42" spans="1:23" x14ac:dyDescent="0.45">
      <c r="A42" s="1" t="s">
        <v>39</v>
      </c>
      <c r="B42" s="9">
        <f>B6</f>
        <v>80000</v>
      </c>
      <c r="C42" s="11">
        <f>ROUNDUP(B42,-2)</f>
        <v>80000</v>
      </c>
      <c r="D42" s="14">
        <f>シミュレーションシート!C17</f>
        <v>0</v>
      </c>
      <c r="E42" s="11">
        <f>ROUNDUP(D42,-2)</f>
        <v>0</v>
      </c>
      <c r="F42" s="20">
        <f>IF(B42&gt;D42,E42,C42)</f>
        <v>0</v>
      </c>
      <c r="G42" s="14">
        <f>G6</f>
        <v>130000</v>
      </c>
      <c r="H42" s="11">
        <f>ROUNDUP(G42,-2)</f>
        <v>130000</v>
      </c>
      <c r="I42" s="14">
        <f>シミュレーションシート!C17</f>
        <v>0</v>
      </c>
      <c r="J42" s="11">
        <f>ROUNDUP(I42,-2)</f>
        <v>0</v>
      </c>
      <c r="K42" s="20">
        <f>IF(G42&gt;I42,J42,H42)</f>
        <v>0</v>
      </c>
      <c r="M42" s="1" t="s">
        <v>39</v>
      </c>
      <c r="N42" s="9">
        <f>N6</f>
        <v>230000</v>
      </c>
      <c r="O42" s="11">
        <f>ROUNDUP(N42,-2)</f>
        <v>230000</v>
      </c>
      <c r="P42" s="14">
        <f>シミュレーションシート!K23</f>
        <v>0</v>
      </c>
      <c r="Q42" s="11">
        <f>ROUNDUP(P42,-2)</f>
        <v>0</v>
      </c>
      <c r="R42" s="18">
        <f>IF(N42&gt;P42,Q42,O42)</f>
        <v>0</v>
      </c>
      <c r="S42" s="9">
        <f>S6</f>
        <v>700000</v>
      </c>
      <c r="T42" s="11">
        <f>ROUNDUP(S42,-2)</f>
        <v>700000</v>
      </c>
      <c r="U42" s="14">
        <f>シミュレーションシート!K23</f>
        <v>0</v>
      </c>
      <c r="V42" s="11">
        <f>ROUNDUP(U42,-2)</f>
        <v>0</v>
      </c>
      <c r="W42" s="20">
        <f>IF(S42&gt;U42,V42,T42)</f>
        <v>0</v>
      </c>
    </row>
    <row r="43" spans="1:23" ht="18.600000000000001" thickBot="1" x14ac:dyDescent="0.5">
      <c r="A43" s="1" t="s">
        <v>40</v>
      </c>
      <c r="B43" s="9">
        <f>B7</f>
        <v>70000</v>
      </c>
      <c r="C43" s="12">
        <f>ROUNDUP(B43,-2)</f>
        <v>70000</v>
      </c>
      <c r="D43" s="14">
        <f>シミュレーションシート!C17</f>
        <v>0</v>
      </c>
      <c r="E43" s="12">
        <f>ROUNDUP(D43,-2)</f>
        <v>0</v>
      </c>
      <c r="F43" s="20">
        <f>IF(B43&gt;D43,E43,C43)</f>
        <v>0</v>
      </c>
      <c r="G43" s="14">
        <f>G7</f>
        <v>160000</v>
      </c>
      <c r="H43" s="12">
        <f>ROUNDUP(G43,-2)</f>
        <v>160000</v>
      </c>
      <c r="I43" s="14">
        <f>シミュレーションシート!C17</f>
        <v>0</v>
      </c>
      <c r="J43" s="12">
        <f>ROUNDUP(I43,-2)</f>
        <v>0</v>
      </c>
      <c r="K43" s="20">
        <f>IF(G43&gt;I43,J43,H43)</f>
        <v>0</v>
      </c>
      <c r="M43" s="1" t="s">
        <v>40</v>
      </c>
      <c r="N43" s="9">
        <f>N7</f>
        <v>170000</v>
      </c>
      <c r="O43" s="12">
        <f>ROUNDUP(N43,-2)</f>
        <v>170000</v>
      </c>
      <c r="P43" s="14">
        <f>シミュレーションシート!K23</f>
        <v>0</v>
      </c>
      <c r="Q43" s="12">
        <f>ROUNDUP(P43,-2)</f>
        <v>0</v>
      </c>
      <c r="R43" s="18">
        <f>IF(N43&gt;P43,Q43,O43)</f>
        <v>0</v>
      </c>
      <c r="S43" s="9">
        <f>S7</f>
        <v>590000</v>
      </c>
      <c r="T43" s="12">
        <f>ROUNDUP(S43,-2)</f>
        <v>590000</v>
      </c>
      <c r="U43" s="14">
        <f>シミュレーションシート!K23</f>
        <v>0</v>
      </c>
      <c r="V43" s="12">
        <f>ROUNDUP(U43,-2)</f>
        <v>0</v>
      </c>
      <c r="W43" s="20">
        <f>IF(S43&gt;U43,V43,T43)</f>
        <v>0</v>
      </c>
    </row>
    <row r="46" spans="1:23" x14ac:dyDescent="0.45">
      <c r="A46" t="s">
        <v>55</v>
      </c>
    </row>
    <row r="47" spans="1:23" x14ac:dyDescent="0.45">
      <c r="A47" t="s">
        <v>58</v>
      </c>
      <c r="E47" t="s">
        <v>1909</v>
      </c>
      <c r="I47" t="s">
        <v>108</v>
      </c>
    </row>
    <row r="48" spans="1:23" ht="36" x14ac:dyDescent="0.45">
      <c r="A48" s="1"/>
      <c r="B48" s="1" t="s">
        <v>1911</v>
      </c>
      <c r="C48" s="1" t="s">
        <v>57</v>
      </c>
      <c r="E48" s="1" t="s">
        <v>112</v>
      </c>
      <c r="F48" s="1" t="s">
        <v>107</v>
      </c>
      <c r="G48" s="1" t="s">
        <v>106</v>
      </c>
      <c r="I48" s="1" t="s">
        <v>112</v>
      </c>
      <c r="J48" s="52" t="s">
        <v>1912</v>
      </c>
      <c r="K48" s="52" t="s">
        <v>1913</v>
      </c>
      <c r="L48" s="1" t="s">
        <v>107</v>
      </c>
      <c r="M48" s="1" t="s">
        <v>106</v>
      </c>
    </row>
    <row r="49" spans="1:19" x14ac:dyDescent="0.45">
      <c r="A49" s="3" t="s">
        <v>52</v>
      </c>
      <c r="B49" s="3" t="str">
        <f>CONCATENATE(シミュレーションシート!K11,シミュレーションシート!M11)</f>
        <v/>
      </c>
      <c r="C49" s="36" t="e">
        <f>DATEVALUE(B49)</f>
        <v>#VALUE!</v>
      </c>
      <c r="E49" s="1" t="s">
        <v>113</v>
      </c>
      <c r="F49" s="1" t="e">
        <f>IF(AND(AND(G50="",シミュレーションシート!K12=4),データシート!C51&lt;48),"誤","")</f>
        <v>#VALUE!</v>
      </c>
      <c r="G49" s="1" t="str">
        <f>IF(OR(OR(シミュレーションシート!M13="",シミュレーションシート!K13=""),シミュレーションシート!K12=""),"",F49)</f>
        <v/>
      </c>
      <c r="I49" s="1" t="s">
        <v>113</v>
      </c>
      <c r="J49" s="15">
        <f>DATE(YEAR(J52)-3,MONTH(J52),DAY(J52))</f>
        <v>45017</v>
      </c>
      <c r="K49" s="15">
        <f>DATE(YEAR(K52)-3,MONTH(K52),DAY(K52))</f>
        <v>44835</v>
      </c>
      <c r="L49" s="1" t="e">
        <f>IF(AND(AND(M50="",シミュレーションシート!K12=4),OR(データシート!C49&lt;データシート!K49,C49&gt;=K50)),"誤","")</f>
        <v>#VALUE!</v>
      </c>
      <c r="M49" s="1" t="str">
        <f>IF(OR(OR(シミュレーションシート!K11="",シミュレーションシート!M11=""),シミュレーションシート!K12=""),"",L49)</f>
        <v/>
      </c>
    </row>
    <row r="50" spans="1:19" x14ac:dyDescent="0.45">
      <c r="A50" s="1" t="s">
        <v>56</v>
      </c>
      <c r="B50" s="1" t="str">
        <f>CONCATENATE(シミュレーションシート!K14)</f>
        <v/>
      </c>
      <c r="C50" s="15" t="e">
        <f>EDATE(EDATE(C49,C51),-1)</f>
        <v>#VALUE!</v>
      </c>
      <c r="E50" s="1" t="s">
        <v>111</v>
      </c>
      <c r="F50" s="1" t="e">
        <f>IF(AND(AND(G51="",シミュレーションシート!K12=3),データシート!C51&lt;36),"誤","")</f>
        <v>#VALUE!</v>
      </c>
      <c r="G50" s="1" t="str">
        <f>IF(OR(OR(シミュレーションシート!M13="",シミュレーションシート!K13=""),シミュレーションシート!K12=""),"",F50)</f>
        <v/>
      </c>
      <c r="I50" s="1" t="s">
        <v>111</v>
      </c>
      <c r="J50" s="15">
        <f>DATE(YEAR(J52)-2,MONTH(J52),DAY(J52))</f>
        <v>45383</v>
      </c>
      <c r="K50" s="15">
        <f>DATE(YEAR(K52)-2,MONTH(K52),DAY(K52))</f>
        <v>45200</v>
      </c>
      <c r="L50" s="1" t="e">
        <f>IF(AND(AND(M51="",シミュレーションシート!K12=3),OR(データシート!C49&lt;データシート!K50,C49&gt;=K51)),"誤","")</f>
        <v>#VALUE!</v>
      </c>
      <c r="M50" s="1" t="str">
        <f>IF(OR(OR(シミュレーションシート!K11="",シミュレーションシート!M11=""),シミュレーションシート!K12=""),"",L50)</f>
        <v/>
      </c>
    </row>
    <row r="51" spans="1:19" x14ac:dyDescent="0.45">
      <c r="A51" s="15" t="s">
        <v>94</v>
      </c>
      <c r="B51" s="1" t="str">
        <f>CONCATENATE(シミュレーションシート!K13,シミュレーションシート!M13)</f>
        <v/>
      </c>
      <c r="C51" s="1" t="e">
        <f>LEFT(B51,FIND("年",B51)-1)*12+MID(B51,FIND("年",B51)+1,LEN(B51)-FIND("年",B51)-2)*1</f>
        <v>#VALUE!</v>
      </c>
      <c r="E51" s="3" t="s">
        <v>110</v>
      </c>
      <c r="F51" s="3" t="e">
        <f>IF(AND(AND(G52="",シミュレーションシート!K12=2),データシート!C51&lt;24),"誤","")</f>
        <v>#VALUE!</v>
      </c>
      <c r="G51" s="3" t="str">
        <f>IF(OR(OR(シミュレーションシート!M13="",シミュレーションシート!K13=""),シミュレーションシート!K12=""),"",F51)</f>
        <v/>
      </c>
      <c r="I51" s="3" t="s">
        <v>110</v>
      </c>
      <c r="J51" s="36">
        <f>DATE(YEAR(J52)-1,MONTH(J52),DAY(J52))</f>
        <v>45748</v>
      </c>
      <c r="K51" s="36">
        <f>DATE(YEAR(K52)-1,MONTH(K52),DAY(K52))</f>
        <v>45566</v>
      </c>
      <c r="L51" s="3" t="e">
        <f>IF(AND(AND(M52="",シミュレーションシート!K12=2),OR(データシート!C49&lt;データシート!K51,C49&gt;=K52)),"誤","")</f>
        <v>#VALUE!</v>
      </c>
      <c r="M51" s="3" t="str">
        <f>IF(OR(OR(シミュレーションシート!K11="",シミュレーションシート!M11=""),シミュレーションシート!K12=""),"",L51)</f>
        <v/>
      </c>
    </row>
    <row r="52" spans="1:19" ht="18.600000000000001" thickBot="1" x14ac:dyDescent="0.5">
      <c r="A52" s="35"/>
      <c r="E52" s="41" t="s">
        <v>109</v>
      </c>
      <c r="F52" s="41" t="e">
        <f>IF(AND(シミュレーションシート!K12=1,データシート!C51&lt;12),"誤","")</f>
        <v>#VALUE!</v>
      </c>
      <c r="G52" s="41" t="str">
        <f>IF(OR(OR(シミュレーションシート!M13="",シミュレーションシート!K13=""),シミュレーションシート!K12=""),"",F52)</f>
        <v/>
      </c>
      <c r="I52" s="41" t="s">
        <v>109</v>
      </c>
      <c r="J52" s="53">
        <f>DATEVALUE(CONCATENATE(P59,J53))</f>
        <v>46113</v>
      </c>
      <c r="K52" s="53">
        <f>IF(O59=10,DATEVALUE(CONCATENATE(P59,K53)),DATEVALUE(CONCATENATE(CONCATENATE(N59-1,N58),K53)))-K54</f>
        <v>45931</v>
      </c>
      <c r="L52" s="41" t="e">
        <f>IF(AND(シミュレーションシート!K12=1,データシート!C49&lt;データシート!K52),"誤","")</f>
        <v>#VALUE!</v>
      </c>
      <c r="M52" s="41" t="str">
        <f>IF(OR(OR(シミュレーションシート!K11="",シミュレーションシート!M11=""),シミュレーションシート!K12=""),"",L52)</f>
        <v/>
      </c>
    </row>
    <row r="53" spans="1:19" ht="18.600000000000001" thickTop="1" x14ac:dyDescent="0.45">
      <c r="A53" s="35"/>
      <c r="E53" s="4"/>
      <c r="F53" s="4"/>
      <c r="G53" s="4">
        <f>COUNTIF(G49:G52,"誤")</f>
        <v>0</v>
      </c>
      <c r="I53" s="4"/>
      <c r="J53" s="51" t="s">
        <v>1918</v>
      </c>
      <c r="K53" s="51" t="s">
        <v>1919</v>
      </c>
      <c r="L53" s="4"/>
      <c r="M53" s="4">
        <f>COUNTIF(M49:M52,"誤")</f>
        <v>0</v>
      </c>
    </row>
    <row r="54" spans="1:19" x14ac:dyDescent="0.45">
      <c r="E54" s="35"/>
      <c r="K54">
        <f>IF(O59=4,0,365)</f>
        <v>0</v>
      </c>
    </row>
    <row r="57" spans="1:19" x14ac:dyDescent="0.45">
      <c r="A57" t="s">
        <v>101</v>
      </c>
      <c r="E57" t="s">
        <v>105</v>
      </c>
      <c r="I57" t="s">
        <v>114</v>
      </c>
      <c r="M57" t="s">
        <v>1888</v>
      </c>
      <c r="O57" s="45">
        <v>46113</v>
      </c>
      <c r="P57" t="s">
        <v>1892</v>
      </c>
    </row>
    <row r="58" spans="1:19" x14ac:dyDescent="0.45">
      <c r="A58" s="1"/>
      <c r="B58" s="1" t="s">
        <v>1910</v>
      </c>
      <c r="C58" s="1" t="s">
        <v>1899</v>
      </c>
      <c r="E58" s="1"/>
      <c r="F58" s="40" t="s">
        <v>107</v>
      </c>
      <c r="G58" s="1" t="s">
        <v>106</v>
      </c>
      <c r="I58" s="1"/>
      <c r="J58" s="1" t="s">
        <v>107</v>
      </c>
      <c r="K58" s="1" t="s">
        <v>106</v>
      </c>
      <c r="M58" s="1"/>
      <c r="N58" s="1" t="s">
        <v>1889</v>
      </c>
      <c r="O58" s="1" t="s">
        <v>1890</v>
      </c>
      <c r="P58" s="1" t="s">
        <v>1896</v>
      </c>
      <c r="Q58" s="1" t="s">
        <v>1897</v>
      </c>
      <c r="R58" s="1" t="s">
        <v>57</v>
      </c>
      <c r="S58" s="1" t="s">
        <v>93</v>
      </c>
    </row>
    <row r="59" spans="1:19" x14ac:dyDescent="0.45">
      <c r="A59" s="1" t="s">
        <v>102</v>
      </c>
      <c r="B59" s="1" t="str">
        <f>CONCATENATE(シミュレーションシート!C30,シミュレーションシート!E30)</f>
        <v/>
      </c>
      <c r="C59" s="15" t="e">
        <f>DATEVALUE(B59)</f>
        <v>#VALUE!</v>
      </c>
      <c r="D59" s="5"/>
      <c r="E59" s="1" t="s">
        <v>102</v>
      </c>
      <c r="F59" s="40" t="e">
        <f>IF(OR(C59&gt;C50,C59&lt;C49,C59&lt;O57),"誤","")</f>
        <v>#VALUE!</v>
      </c>
      <c r="G59" s="1" t="str">
        <f>IF(B59="","",F59)</f>
        <v/>
      </c>
      <c r="I59" s="1" t="s">
        <v>115</v>
      </c>
      <c r="J59" s="1" t="e">
        <f>IF(B60-B59&lt;0,"誤","")</f>
        <v>#VALUE!</v>
      </c>
      <c r="K59" s="1" t="str">
        <f>IF(OR(B59="",B60=""),"",J59)</f>
        <v/>
      </c>
      <c r="M59" s="1" t="s">
        <v>1891</v>
      </c>
      <c r="N59" s="1">
        <f>YEAR(O57)</f>
        <v>2026</v>
      </c>
      <c r="O59" s="1">
        <f>MONTH(O57)</f>
        <v>4</v>
      </c>
      <c r="P59" s="1" t="str">
        <f>CONCATENATE(N59,N58)</f>
        <v>2026年</v>
      </c>
      <c r="Q59" s="1" t="str">
        <f>CONCATENATE(O59,O58)</f>
        <v>4月</v>
      </c>
      <c r="R59" s="1" t="str">
        <f>CONCATENATE(P59,Q59)</f>
        <v>2026年4月</v>
      </c>
      <c r="S59" s="15">
        <f>DATEVALUE(R59)</f>
        <v>46113</v>
      </c>
    </row>
    <row r="60" spans="1:19" x14ac:dyDescent="0.45">
      <c r="A60" s="1" t="s">
        <v>103</v>
      </c>
      <c r="B60" s="1" t="str">
        <f>CONCATENATE(シミュレーションシート!G30,シミュレーションシート!J30)</f>
        <v/>
      </c>
      <c r="C60" s="15" t="e">
        <f>DATEVALUE(B60)</f>
        <v>#VALUE!</v>
      </c>
      <c r="D60" s="5"/>
      <c r="E60" s="1" t="s">
        <v>103</v>
      </c>
      <c r="F60" s="40" t="e">
        <f>IF(データシート!$C$50&lt;データシート!$C$60,"誤","")</f>
        <v>#VALUE!</v>
      </c>
      <c r="G60" s="1" t="str">
        <f>IF(B60="","",F60)</f>
        <v/>
      </c>
      <c r="M60" s="1" t="s">
        <v>1893</v>
      </c>
      <c r="N60" s="1" t="e">
        <f>YEAR(C50)</f>
        <v>#VALUE!</v>
      </c>
      <c r="O60" s="1" t="e">
        <f>MONTH(C50)</f>
        <v>#VALUE!</v>
      </c>
      <c r="P60" s="1" t="e">
        <f>CONCATENATE(N60,N58)</f>
        <v>#VALUE!</v>
      </c>
      <c r="Q60" s="1" t="e">
        <f>CONCATENATE(O60,O58)</f>
        <v>#VALUE!</v>
      </c>
      <c r="R60" s="1" t="e">
        <f t="shared" ref="R60:R63" si="4">CONCATENATE(P60,Q60)</f>
        <v>#VALUE!</v>
      </c>
      <c r="S60" s="15" t="e">
        <f t="shared" ref="S60:S63" si="5">DATEVALUE(R60)</f>
        <v>#VALUE!</v>
      </c>
    </row>
    <row r="61" spans="1:19" x14ac:dyDescent="0.45">
      <c r="F61" s="37"/>
      <c r="M61" s="1" t="s">
        <v>102</v>
      </c>
      <c r="N61" s="1" t="e">
        <f>YEAR(C59)</f>
        <v>#VALUE!</v>
      </c>
      <c r="O61" s="1" t="e">
        <f>MONTH(C59)</f>
        <v>#VALUE!</v>
      </c>
      <c r="P61" s="1" t="e">
        <f>CONCATENATE(N61,N58)</f>
        <v>#VALUE!</v>
      </c>
      <c r="Q61" s="1" t="e">
        <f>CONCATENATE(O61,O58)</f>
        <v>#VALUE!</v>
      </c>
      <c r="R61" s="1" t="e">
        <f t="shared" si="4"/>
        <v>#VALUE!</v>
      </c>
      <c r="S61" s="15" t="e">
        <f t="shared" si="5"/>
        <v>#VALUE!</v>
      </c>
    </row>
    <row r="62" spans="1:19" x14ac:dyDescent="0.45">
      <c r="A62" t="s">
        <v>61</v>
      </c>
      <c r="E62" t="s">
        <v>1902</v>
      </c>
      <c r="I62" t="s">
        <v>1904</v>
      </c>
      <c r="J62" s="35"/>
      <c r="M62" s="1" t="s">
        <v>1894</v>
      </c>
      <c r="N62" s="15" t="e">
        <f>EDATE(C59,23)</f>
        <v>#VALUE!</v>
      </c>
      <c r="O62" s="1"/>
      <c r="P62" s="1"/>
      <c r="Q62" s="1"/>
      <c r="R62" s="1"/>
      <c r="S62" s="15"/>
    </row>
    <row r="63" spans="1:19" x14ac:dyDescent="0.45">
      <c r="A63" s="1"/>
      <c r="B63" s="1" t="s">
        <v>60</v>
      </c>
      <c r="C63" s="1" t="s">
        <v>49</v>
      </c>
      <c r="D63" s="48"/>
      <c r="E63" s="49" t="b">
        <v>0</v>
      </c>
      <c r="F63" t="s">
        <v>1914</v>
      </c>
      <c r="I63" s="44" t="s">
        <v>1905</v>
      </c>
      <c r="J63" s="44" t="s">
        <v>107</v>
      </c>
      <c r="K63" s="44" t="s">
        <v>106</v>
      </c>
      <c r="M63" s="1" t="s">
        <v>1895</v>
      </c>
      <c r="N63" s="1" t="e">
        <f>YEAR(N62)</f>
        <v>#VALUE!</v>
      </c>
      <c r="O63" s="1" t="e">
        <f>MONTH(N62)</f>
        <v>#VALUE!</v>
      </c>
      <c r="P63" s="1" t="e">
        <f>CONCATENATE(N63,N58)</f>
        <v>#VALUE!</v>
      </c>
      <c r="Q63" s="1" t="e">
        <f>CONCATENATE(O63,O58)</f>
        <v>#VALUE!</v>
      </c>
      <c r="R63" s="1" t="e">
        <f t="shared" si="4"/>
        <v>#VALUE!</v>
      </c>
      <c r="S63" s="15" t="e">
        <f t="shared" si="5"/>
        <v>#VALUE!</v>
      </c>
    </row>
    <row r="64" spans="1:19" x14ac:dyDescent="0.45">
      <c r="A64" s="1" t="s">
        <v>59</v>
      </c>
      <c r="B64" s="1">
        <f>(シミュレーションシート!K23-シミュレーションシート!G29)/12</f>
        <v>0</v>
      </c>
      <c r="C64" s="1">
        <f>ROUNDDOWN(B64,-3)</f>
        <v>0</v>
      </c>
      <c r="E64" s="1" t="b">
        <f>シミュレーションシート!E40+1&gt;シミュレーションシート!E39</f>
        <v>1</v>
      </c>
      <c r="F64" t="s">
        <v>1915</v>
      </c>
      <c r="I64" s="44" t="e">
        <f>DATEDIF(C59,C60,"M")</f>
        <v>#VALUE!</v>
      </c>
      <c r="J64" s="44" t="e">
        <f>IF(OR(I64&gt;=24,I64&gt;C51),"誤","")</f>
        <v>#VALUE!</v>
      </c>
      <c r="K64" s="44" t="e">
        <f>IF(OR(S61="",S63=""),"",J64)</f>
        <v>#VALUE!</v>
      </c>
    </row>
    <row r="65" spans="1:13" ht="18.600000000000001" thickBot="1" x14ac:dyDescent="0.5">
      <c r="E65" s="41" t="b">
        <f>NOT(ISBLANK(シミュレーションシート!E40))</f>
        <v>0</v>
      </c>
      <c r="F65" t="s">
        <v>1916</v>
      </c>
    </row>
    <row r="66" spans="1:13" ht="18.600000000000001" thickTop="1" x14ac:dyDescent="0.45">
      <c r="A66" t="s">
        <v>64</v>
      </c>
      <c r="E66" s="4">
        <f>COUNTIF(E63:E65,FALSE)</f>
        <v>2</v>
      </c>
      <c r="F66" t="s">
        <v>1917</v>
      </c>
    </row>
    <row r="67" spans="1:13" x14ac:dyDescent="0.45">
      <c r="A67" t="s">
        <v>65</v>
      </c>
      <c r="B67" t="str">
        <f>CONCATENATE(シミュレーションシート!C14,シミュレーションシート!C13,シミュレーションシート!I28)</f>
        <v/>
      </c>
    </row>
    <row r="69" spans="1:13" ht="18.600000000000001" thickBot="1" x14ac:dyDescent="0.5">
      <c r="B69" t="s">
        <v>46</v>
      </c>
      <c r="E69" t="s">
        <v>47</v>
      </c>
    </row>
    <row r="70" spans="1:13" x14ac:dyDescent="0.45">
      <c r="B70" s="21" t="s">
        <v>66</v>
      </c>
      <c r="C70" s="22">
        <f>IF(B67="国公立大学Ⅰ",F13,IF(B67="国公立大学Ⅱ",F22,IF(B67="国公立大学Ⅲ",F31,IF(B67="国公立大学Ⅳ",F40,0))))</f>
        <v>0</v>
      </c>
      <c r="E70" s="21" t="s">
        <v>66</v>
      </c>
      <c r="F70" s="22">
        <f>IF(B67="国公立大学Ⅰ",R13,IF(B67="国公立大学Ⅱ",R22,IF(B67="国公立大学Ⅲ",R31,IF(B67="国公立大学Ⅳ",R40,0))))</f>
        <v>0</v>
      </c>
    </row>
    <row r="71" spans="1:13" x14ac:dyDescent="0.45">
      <c r="B71" s="23" t="s">
        <v>67</v>
      </c>
      <c r="C71" s="24">
        <f>IF(AND(C70=0,B67="国公立短期大学Ⅰ"),F14,IF(AND(C70=0,B67="国公立短期大学Ⅱ"),F23,IF(AND(C70=0,B67="国公立短期大学Ⅲ"),F32,IF(AND(C70=0,B67="国公立短期大学Ⅳ"),F41,0))))</f>
        <v>0</v>
      </c>
      <c r="E71" s="23" t="s">
        <v>67</v>
      </c>
      <c r="F71" s="24">
        <f>IF(AND(F70=0,B67="国公立短期大学Ⅰ"),R14,IF(AND(F70=0,B67="国公立短期大学Ⅱ"),R23,IF(AND(F70=0,B67="国公立短期大学Ⅲ"),R32,IF(AND(F70=0,B67="国公立短期大学Ⅳ"),R41,0))))</f>
        <v>0</v>
      </c>
    </row>
    <row r="72" spans="1:13" x14ac:dyDescent="0.45">
      <c r="B72" s="23" t="s">
        <v>68</v>
      </c>
      <c r="C72" s="24">
        <f>IF(AND(C71=0,B67="国公立高等専門学校Ⅰ"),F15,IF(AND(C71=0,B67="国公立高等専門学校Ⅱ"),F24,IF(AND(C71=0,B67="国公立高等専門学校Ⅲ"),F33,IF(AND(C71=0,B67="国公立高等専門学校Ⅳ"),F42,0))))</f>
        <v>0</v>
      </c>
      <c r="E72" s="23" t="s">
        <v>68</v>
      </c>
      <c r="F72" s="24">
        <f>IF(AND(F71=0,B67="国公立高等専門学校Ⅰ"),R15,IF(AND(F71=0,B67="国公立高等専門学校Ⅱ"),R24,IF(AND(F71=0,B67="国公立高等専門学校Ⅲ"),R33,IF(AND(F71=0,B67="国公立高等専門学校Ⅳ"),R42,0))))</f>
        <v>0</v>
      </c>
    </row>
    <row r="73" spans="1:13" ht="18.600000000000001" thickBot="1" x14ac:dyDescent="0.5">
      <c r="B73" s="25" t="s">
        <v>69</v>
      </c>
      <c r="C73" s="26">
        <f>IF(AND(C72=0,B67="国公立専門学校Ⅰ"),F16,IF(AND(C72=0,B67="国公立専門学校Ⅱ"),F25,IF(AND(C72=0,B67="国公立専門学校Ⅲ"),F34,IF(AND(C72=0,B67="国公立専門学校Ⅳ"),F43,0))))</f>
        <v>0</v>
      </c>
      <c r="E73" s="25" t="s">
        <v>69</v>
      </c>
      <c r="F73" s="26">
        <f>IF(AND(F72=0,B67="国公立専門学校Ⅰ"),R16,IF(AND(F72=0,B67="国公立専門学校Ⅱ"),R25,IF(AND(F72=0,B67="国公立専門学校Ⅲ"),R34,IF(AND(F72=0,B67="国公立専門学校Ⅳ"),R43,0))))</f>
        <v>0</v>
      </c>
    </row>
    <row r="74" spans="1:13" x14ac:dyDescent="0.45">
      <c r="B74" s="21" t="s">
        <v>70</v>
      </c>
      <c r="C74" s="22">
        <f>IF(AND(C73=0,B67="私立大学Ⅰ"),K13,IF(AND(C73=0,B67="私立大学Ⅱ"),K22,IF(AND(C73=0,B67="私立大学Ⅲ"),K31,IF(AND(C73=0,B67="私立大学Ⅳ"),K40,0))))</f>
        <v>0</v>
      </c>
      <c r="E74" s="21" t="s">
        <v>70</v>
      </c>
      <c r="F74" s="22">
        <f>IF(AND(F73=0,B67="私立大学Ⅰ"),W13,IF(AND(F73=0,B67="私立大学Ⅱ"),W22,IF(AND(F73=0,B67="私立大学Ⅲ"),W31,IF(AND(F73=0,B67="私立大学Ⅳ"),W40,0))))</f>
        <v>0</v>
      </c>
    </row>
    <row r="75" spans="1:13" x14ac:dyDescent="0.45">
      <c r="B75" s="23" t="s">
        <v>71</v>
      </c>
      <c r="C75" s="24">
        <f>IF(AND(C74=0,B67="私立短期大学Ⅰ"),K14,IF(AND(C74=0,B67="私立短期大学Ⅱ"),K23,IF(AND(C74=0,B67="私立短期大学Ⅲ"),K32,IF(AND(C74=0,B67="私立短期大学Ⅳ"),K41,0))))</f>
        <v>0</v>
      </c>
      <c r="E75" s="23" t="s">
        <v>71</v>
      </c>
      <c r="F75" s="24">
        <f>IF(AND(F74=0,B67="私立短期大学Ⅰ"),W14,IF(AND(F74=0,B67="私立短期大学Ⅱ"),W23,IF(AND(F74=0,B67="私立短期大学Ⅲ"),W32,IF(AND(F74=0,B67="私立短期大学Ⅳ"),W41,0))))</f>
        <v>0</v>
      </c>
    </row>
    <row r="76" spans="1:13" x14ac:dyDescent="0.45">
      <c r="B76" s="23" t="s">
        <v>72</v>
      </c>
      <c r="C76" s="24">
        <f>IF(AND(C75=0,B67="私立高等専門学校Ⅰ"),K15,IF(AND(C75=0,B67="私立高等専門学校Ⅱ"),K24,IF(AND(C75=0,B67="私立高等専門学校Ⅲ"),K33,IF(AND(C75=0,B67="私立高等専門学校Ⅳ"),K42,0))))</f>
        <v>0</v>
      </c>
      <c r="E76" s="23" t="s">
        <v>72</v>
      </c>
      <c r="F76" s="24">
        <f>IF(AND(F75=0,B67="私立高等専門学校Ⅰ"),W16,IF(AND(F75=0,B67="私立高等専門学校Ⅱ"),W24,IF(AND(F75=0,B67="私立高等専門学校Ⅲ"),W33,IF(AND(F75=0,B67="私立高等専門学校Ⅳ"),W42,0))))</f>
        <v>0</v>
      </c>
    </row>
    <row r="77" spans="1:13" ht="18.600000000000001" thickBot="1" x14ac:dyDescent="0.5">
      <c r="B77" s="27" t="s">
        <v>73</v>
      </c>
      <c r="C77" s="28">
        <f>IF(AND(C76=0,B67="私立専門学校Ⅰ"),K16,IF(AND(C76=0,B67="私立専門学校Ⅱ"),K25,IF(AND(C76=0,B67="私立専門学校Ⅲ"),K34,IF(AND(C76=0,B67="私立専門学校Ⅳ"),K43,0))))</f>
        <v>0</v>
      </c>
      <c r="E77" s="27" t="s">
        <v>73</v>
      </c>
      <c r="F77" s="28">
        <f>IF(AND(F76=0,B67="私立専門学校Ⅰ"),W16,IF(AND(F76=0,B67="私立専門学校Ⅱ"),W25,IF(AND(F76=0,B67="私立専門学校Ⅲ"),W34,IF(AND(F76=0,B67="私立専門学校Ⅳ"),W43,0))))</f>
        <v>0</v>
      </c>
    </row>
    <row r="78" spans="1:13" ht="19.2" thickTop="1" thickBot="1" x14ac:dyDescent="0.5">
      <c r="B78" s="30" t="s">
        <v>74</v>
      </c>
      <c r="C78" s="29">
        <f>SUM(C70:C77)</f>
        <v>0</v>
      </c>
      <c r="E78" s="30" t="s">
        <v>74</v>
      </c>
      <c r="F78" s="29">
        <f>SUM(F70:F77)</f>
        <v>0</v>
      </c>
    </row>
    <row r="80" spans="1:13" x14ac:dyDescent="0.45">
      <c r="A80" t="s">
        <v>95</v>
      </c>
      <c r="J80" t="s">
        <v>1920</v>
      </c>
      <c r="M80" t="s">
        <v>1921</v>
      </c>
    </row>
    <row r="81" spans="1:14" x14ac:dyDescent="0.45">
      <c r="A81" s="1"/>
      <c r="B81" s="1" t="s">
        <v>6</v>
      </c>
      <c r="C81" s="1" t="s">
        <v>49</v>
      </c>
      <c r="D81" s="1" t="s">
        <v>96</v>
      </c>
      <c r="E81" s="1" t="s">
        <v>97</v>
      </c>
      <c r="F81" s="1" t="s">
        <v>1906</v>
      </c>
      <c r="J81" s="15">
        <f>DATE(YEAR(J82)-1, MONTH(J82), DAY(J82))</f>
        <v>44652</v>
      </c>
      <c r="K81" s="54" t="str">
        <f>YEAR(J81)&amp;"年"</f>
        <v>2022年</v>
      </c>
      <c r="M81" s="15">
        <f>O57</f>
        <v>46113</v>
      </c>
      <c r="N81" s="54" t="str">
        <f>YEAR(M81)&amp;"年"</f>
        <v>2026年</v>
      </c>
    </row>
    <row r="82" spans="1:14" x14ac:dyDescent="0.45">
      <c r="A82" s="1" t="s">
        <v>98</v>
      </c>
      <c r="B82" s="1">
        <f>シミュレーションシート!E32</f>
        <v>0</v>
      </c>
      <c r="C82" s="1">
        <f>ROUNDDOWN(B82,-3)</f>
        <v>0</v>
      </c>
      <c r="D82" s="1">
        <f>シミュレーションシート!I32</f>
        <v>0</v>
      </c>
      <c r="E82" s="1">
        <f>C82*D82</f>
        <v>0</v>
      </c>
      <c r="F82" s="1" t="str">
        <f>IF(ROUND(シミュレーションシート!I32,0)=シミュレーションシート!I32,"","誤")</f>
        <v/>
      </c>
      <c r="J82" s="15">
        <f>DATE(YEAR(J83)-1, MONTH(J83), DAY(J83))</f>
        <v>45017</v>
      </c>
      <c r="K82" s="54" t="str">
        <f t="shared" ref="K82:K85" si="6">YEAR(J82)&amp;"年"</f>
        <v>2023年</v>
      </c>
      <c r="M82" s="15">
        <f>DATE(YEAR(M81)+1, MONTH(M81), DAY(M81))</f>
        <v>46478</v>
      </c>
      <c r="N82" s="54" t="str">
        <f t="shared" ref="N82:N85" si="7">YEAR(M82)&amp;"年"</f>
        <v>2027年</v>
      </c>
    </row>
    <row r="83" spans="1:14" x14ac:dyDescent="0.45">
      <c r="A83" s="1" t="s">
        <v>99</v>
      </c>
      <c r="B83" s="1">
        <f>シミュレーションシート!E34</f>
        <v>0</v>
      </c>
      <c r="C83" s="1">
        <f>ROUNDDOWN(B83,-3)</f>
        <v>0</v>
      </c>
      <c r="D83" s="1">
        <f>シミュレーションシート!I34</f>
        <v>0</v>
      </c>
      <c r="E83" s="1">
        <f>C83*D83</f>
        <v>0</v>
      </c>
      <c r="F83" s="1" t="str">
        <f>IF(ROUND(シミュレーションシート!I34,0)=シミュレーションシート!I34,"","誤")</f>
        <v/>
      </c>
      <c r="J83" s="15">
        <f>DATE(YEAR(J84)-1, MONTH(J84), DAY(J84))</f>
        <v>45383</v>
      </c>
      <c r="K83" s="54" t="str">
        <f t="shared" si="6"/>
        <v>2024年</v>
      </c>
      <c r="M83" s="15">
        <f>DATE(YEAR(M82)+1, MONTH(M82), DAY(M82))</f>
        <v>46844</v>
      </c>
      <c r="N83" s="54" t="str">
        <f t="shared" si="7"/>
        <v>2028年</v>
      </c>
    </row>
    <row r="84" spans="1:14" x14ac:dyDescent="0.45">
      <c r="A84" s="1" t="s">
        <v>100</v>
      </c>
      <c r="B84" s="1">
        <f>シミュレーションシート!E36</f>
        <v>0</v>
      </c>
      <c r="C84" s="1">
        <f>ROUNDDOWN(B84,-3)</f>
        <v>0</v>
      </c>
      <c r="D84" s="1">
        <f>シミュレーションシート!I36</f>
        <v>0</v>
      </c>
      <c r="E84" s="1">
        <f>C84*D84</f>
        <v>0</v>
      </c>
      <c r="F84" s="1" t="str">
        <f>IF(ROUND(シミュレーションシート!I36,0)=シミュレーションシート!I36,"","誤")</f>
        <v/>
      </c>
      <c r="J84" s="15">
        <f>DATE(YEAR(J85)-1, MONTH(J85), DAY(J85))</f>
        <v>45748</v>
      </c>
      <c r="K84" s="54" t="str">
        <f t="shared" si="6"/>
        <v>2025年</v>
      </c>
      <c r="M84" s="15">
        <f>DATE(YEAR(M83)+1, MONTH(M83), DAY(M83))</f>
        <v>47209</v>
      </c>
      <c r="N84" s="54" t="str">
        <f t="shared" si="7"/>
        <v>2029年</v>
      </c>
    </row>
    <row r="85" spans="1:14" x14ac:dyDescent="0.45">
      <c r="A85" s="1" t="s">
        <v>1907</v>
      </c>
      <c r="B85" s="1">
        <f>シミュレーションシート!E39</f>
        <v>0</v>
      </c>
      <c r="C85" s="1">
        <f>ROUNDDOWN(B85,-3)</f>
        <v>0</v>
      </c>
      <c r="D85" s="1">
        <f>シミュレーションシート!I39</f>
        <v>0</v>
      </c>
      <c r="E85" s="1">
        <f>C85*D85</f>
        <v>0</v>
      </c>
      <c r="F85" s="1" t="str">
        <f>IF(ROUND(シミュレーションシート!I39,0)=シミュレーションシート!I39,"","誤")</f>
        <v/>
      </c>
      <c r="J85" s="15">
        <f>O57</f>
        <v>46113</v>
      </c>
      <c r="K85" s="54" t="str">
        <f t="shared" si="6"/>
        <v>2026年</v>
      </c>
      <c r="M85" s="15">
        <f>DATE(YEAR(M84)+1, MONTH(M84), DAY(M84))</f>
        <v>47574</v>
      </c>
      <c r="N85" s="54" t="str">
        <f t="shared" si="7"/>
        <v>2030年</v>
      </c>
    </row>
    <row r="88" spans="1:14" x14ac:dyDescent="0.45">
      <c r="A88" s="38">
        <v>44805</v>
      </c>
      <c r="B88" s="38">
        <v>44986</v>
      </c>
      <c r="C88" s="38">
        <v>45170</v>
      </c>
      <c r="D88" s="38">
        <v>45352</v>
      </c>
      <c r="E88" s="38">
        <v>45536</v>
      </c>
      <c r="F88" s="38">
        <v>45717</v>
      </c>
      <c r="G88" s="38">
        <v>45901</v>
      </c>
      <c r="H88" s="38">
        <v>46082</v>
      </c>
    </row>
    <row r="89" spans="1:14" x14ac:dyDescent="0.45">
      <c r="A89" s="39">
        <v>44682</v>
      </c>
      <c r="B89" s="39">
        <v>44682</v>
      </c>
      <c r="C89" s="39">
        <v>44682</v>
      </c>
      <c r="D89" s="39">
        <v>44682</v>
      </c>
      <c r="E89" s="39">
        <v>44682</v>
      </c>
      <c r="F89" s="39">
        <v>44682</v>
      </c>
      <c r="G89" s="39">
        <v>44682</v>
      </c>
      <c r="H89" s="39">
        <v>44682</v>
      </c>
    </row>
    <row r="90" spans="1:14" x14ac:dyDescent="0.45">
      <c r="A90" s="39">
        <v>44713</v>
      </c>
      <c r="B90" s="39">
        <v>44713</v>
      </c>
      <c r="C90" s="39">
        <v>44713</v>
      </c>
      <c r="D90" s="39">
        <v>44713</v>
      </c>
      <c r="E90" s="39">
        <v>44713</v>
      </c>
      <c r="F90" s="39">
        <v>44713</v>
      </c>
      <c r="G90" s="39">
        <v>44713</v>
      </c>
      <c r="H90" s="39">
        <v>44713</v>
      </c>
    </row>
    <row r="91" spans="1:14" x14ac:dyDescent="0.45">
      <c r="A91" s="39">
        <v>44743</v>
      </c>
      <c r="B91" s="39">
        <v>44743</v>
      </c>
      <c r="C91" s="39">
        <v>44743</v>
      </c>
      <c r="D91" s="39">
        <v>44743</v>
      </c>
      <c r="E91" s="39">
        <v>44743</v>
      </c>
      <c r="F91" s="39">
        <v>44743</v>
      </c>
      <c r="G91" s="39">
        <v>44743</v>
      </c>
      <c r="H91" s="39">
        <v>44743</v>
      </c>
    </row>
    <row r="92" spans="1:14" x14ac:dyDescent="0.45">
      <c r="A92" s="39">
        <v>44774</v>
      </c>
      <c r="B92" s="39">
        <v>44774</v>
      </c>
      <c r="C92" s="39">
        <v>44774</v>
      </c>
      <c r="D92" s="39">
        <v>44774</v>
      </c>
      <c r="E92" s="39">
        <v>44774</v>
      </c>
      <c r="F92" s="39">
        <v>44774</v>
      </c>
      <c r="G92" s="39">
        <v>44774</v>
      </c>
      <c r="H92" s="39">
        <v>44774</v>
      </c>
    </row>
    <row r="93" spans="1:14" x14ac:dyDescent="0.45">
      <c r="A93" s="39">
        <v>44805</v>
      </c>
      <c r="B93" s="39">
        <v>44805</v>
      </c>
      <c r="C93" s="39">
        <v>44805</v>
      </c>
      <c r="D93" s="39">
        <v>44805</v>
      </c>
      <c r="E93" s="39">
        <v>44805</v>
      </c>
      <c r="F93" s="39">
        <v>44805</v>
      </c>
      <c r="G93" s="39">
        <v>44805</v>
      </c>
      <c r="H93" s="39">
        <v>44805</v>
      </c>
    </row>
    <row r="94" spans="1:14" x14ac:dyDescent="0.45">
      <c r="B94" s="39">
        <v>44835</v>
      </c>
      <c r="C94" s="39">
        <v>44835</v>
      </c>
      <c r="D94" s="39">
        <v>44835</v>
      </c>
      <c r="E94" s="39">
        <v>44835</v>
      </c>
      <c r="F94" s="39">
        <v>44835</v>
      </c>
      <c r="G94" s="39">
        <v>44835</v>
      </c>
      <c r="H94" s="39">
        <v>44835</v>
      </c>
    </row>
    <row r="95" spans="1:14" x14ac:dyDescent="0.45">
      <c r="B95" s="39">
        <v>44866</v>
      </c>
      <c r="C95" s="39">
        <v>44866</v>
      </c>
      <c r="D95" s="39">
        <v>44866</v>
      </c>
      <c r="E95" s="39">
        <v>44866</v>
      </c>
      <c r="F95" s="39">
        <v>44866</v>
      </c>
      <c r="G95" s="39">
        <v>44866</v>
      </c>
      <c r="H95" s="39">
        <v>44866</v>
      </c>
    </row>
    <row r="96" spans="1:14" x14ac:dyDescent="0.45">
      <c r="B96" s="39">
        <v>44896</v>
      </c>
      <c r="C96" s="39">
        <v>44896</v>
      </c>
      <c r="D96" s="39">
        <v>44896</v>
      </c>
      <c r="E96" s="39">
        <v>44896</v>
      </c>
      <c r="F96" s="39">
        <v>44896</v>
      </c>
      <c r="G96" s="39">
        <v>44896</v>
      </c>
      <c r="H96" s="39">
        <v>44896</v>
      </c>
    </row>
    <row r="97" spans="2:8" x14ac:dyDescent="0.45">
      <c r="B97" s="39">
        <v>44927</v>
      </c>
      <c r="C97" s="39">
        <v>44927</v>
      </c>
      <c r="D97" s="39">
        <v>44927</v>
      </c>
      <c r="E97" s="39">
        <v>44927</v>
      </c>
      <c r="F97" s="39">
        <v>44927</v>
      </c>
      <c r="G97" s="39">
        <v>44927</v>
      </c>
      <c r="H97" s="39">
        <v>44927</v>
      </c>
    </row>
    <row r="98" spans="2:8" x14ac:dyDescent="0.45">
      <c r="B98" s="39">
        <v>44958</v>
      </c>
      <c r="C98" s="39">
        <v>44958</v>
      </c>
      <c r="D98" s="39">
        <v>44958</v>
      </c>
      <c r="E98" s="39">
        <v>44958</v>
      </c>
      <c r="F98" s="39">
        <v>44958</v>
      </c>
      <c r="G98" s="39">
        <v>44958</v>
      </c>
      <c r="H98" s="39">
        <v>44958</v>
      </c>
    </row>
    <row r="99" spans="2:8" x14ac:dyDescent="0.45">
      <c r="B99" s="39">
        <v>44986</v>
      </c>
      <c r="C99" s="39">
        <v>44986</v>
      </c>
      <c r="D99" s="39">
        <v>44986</v>
      </c>
      <c r="E99" s="39">
        <v>44986</v>
      </c>
      <c r="F99" s="39">
        <v>44986</v>
      </c>
      <c r="G99" s="39">
        <v>44986</v>
      </c>
      <c r="H99" s="39">
        <v>44986</v>
      </c>
    </row>
    <row r="100" spans="2:8" x14ac:dyDescent="0.45">
      <c r="C100" s="39">
        <v>45017</v>
      </c>
      <c r="D100" s="39">
        <v>45017</v>
      </c>
      <c r="E100" s="39">
        <v>45017</v>
      </c>
      <c r="F100" s="39">
        <v>45017</v>
      </c>
      <c r="G100" s="39">
        <v>45017</v>
      </c>
      <c r="H100" s="39">
        <v>45017</v>
      </c>
    </row>
    <row r="101" spans="2:8" x14ac:dyDescent="0.45">
      <c r="C101" s="39">
        <v>45047</v>
      </c>
      <c r="D101" s="39">
        <v>45047</v>
      </c>
      <c r="E101" s="39">
        <v>45047</v>
      </c>
      <c r="F101" s="39">
        <v>45047</v>
      </c>
      <c r="G101" s="39">
        <v>45047</v>
      </c>
      <c r="H101" s="39">
        <v>45047</v>
      </c>
    </row>
    <row r="102" spans="2:8" x14ac:dyDescent="0.45">
      <c r="C102" s="39">
        <v>45078</v>
      </c>
      <c r="D102" s="39">
        <v>45078</v>
      </c>
      <c r="E102" s="39">
        <v>45078</v>
      </c>
      <c r="F102" s="39">
        <v>45078</v>
      </c>
      <c r="G102" s="39">
        <v>45078</v>
      </c>
      <c r="H102" s="39">
        <v>45078</v>
      </c>
    </row>
    <row r="103" spans="2:8" x14ac:dyDescent="0.45">
      <c r="C103" s="39">
        <v>45108</v>
      </c>
      <c r="D103" s="39">
        <v>45108</v>
      </c>
      <c r="E103" s="39">
        <v>45108</v>
      </c>
      <c r="F103" s="39">
        <v>45108</v>
      </c>
      <c r="G103" s="39">
        <v>45108</v>
      </c>
      <c r="H103" s="39">
        <v>45108</v>
      </c>
    </row>
    <row r="104" spans="2:8" x14ac:dyDescent="0.45">
      <c r="C104" s="39">
        <v>45139</v>
      </c>
      <c r="D104" s="39">
        <v>45139</v>
      </c>
      <c r="E104" s="39">
        <v>45139</v>
      </c>
      <c r="F104" s="39">
        <v>45139</v>
      </c>
      <c r="G104" s="39">
        <v>45139</v>
      </c>
      <c r="H104" s="39">
        <v>45139</v>
      </c>
    </row>
    <row r="105" spans="2:8" x14ac:dyDescent="0.45">
      <c r="C105" s="39">
        <v>45170</v>
      </c>
      <c r="D105" s="39">
        <v>45170</v>
      </c>
      <c r="E105" s="39">
        <v>45170</v>
      </c>
      <c r="F105" s="39">
        <v>45170</v>
      </c>
      <c r="G105" s="39">
        <v>45170</v>
      </c>
      <c r="H105" s="39">
        <v>45170</v>
      </c>
    </row>
    <row r="106" spans="2:8" x14ac:dyDescent="0.45">
      <c r="D106" s="39">
        <v>45200</v>
      </c>
      <c r="E106" s="39">
        <v>45200</v>
      </c>
      <c r="F106" s="39">
        <v>45200</v>
      </c>
      <c r="G106" s="39">
        <v>45200</v>
      </c>
      <c r="H106" s="39">
        <v>45200</v>
      </c>
    </row>
    <row r="107" spans="2:8" x14ac:dyDescent="0.45">
      <c r="D107" s="39">
        <v>45231</v>
      </c>
      <c r="E107" s="39">
        <v>45231</v>
      </c>
      <c r="F107" s="39">
        <v>45231</v>
      </c>
      <c r="G107" s="39">
        <v>45231</v>
      </c>
      <c r="H107" s="39">
        <v>45231</v>
      </c>
    </row>
    <row r="108" spans="2:8" x14ac:dyDescent="0.45">
      <c r="D108" s="39">
        <v>45261</v>
      </c>
      <c r="E108" s="39">
        <v>45261</v>
      </c>
      <c r="F108" s="39">
        <v>45261</v>
      </c>
      <c r="G108" s="39">
        <v>45261</v>
      </c>
      <c r="H108" s="39">
        <v>45261</v>
      </c>
    </row>
    <row r="109" spans="2:8" x14ac:dyDescent="0.45">
      <c r="D109" s="39">
        <v>45292</v>
      </c>
      <c r="E109" s="39">
        <v>45292</v>
      </c>
      <c r="F109" s="39">
        <v>45292</v>
      </c>
      <c r="G109" s="39">
        <v>45292</v>
      </c>
      <c r="H109" s="39">
        <v>45292</v>
      </c>
    </row>
    <row r="110" spans="2:8" x14ac:dyDescent="0.45">
      <c r="D110" s="39">
        <v>45323</v>
      </c>
      <c r="E110" s="39">
        <v>45323</v>
      </c>
      <c r="F110" s="39">
        <v>45323</v>
      </c>
      <c r="G110" s="39">
        <v>45323</v>
      </c>
      <c r="H110" s="39">
        <v>45323</v>
      </c>
    </row>
    <row r="111" spans="2:8" x14ac:dyDescent="0.45">
      <c r="D111" s="39">
        <v>45352</v>
      </c>
      <c r="E111" s="39">
        <v>45352</v>
      </c>
      <c r="F111" s="39">
        <v>45352</v>
      </c>
      <c r="G111" s="39">
        <v>45352</v>
      </c>
      <c r="H111" s="39">
        <v>45352</v>
      </c>
    </row>
    <row r="112" spans="2:8" x14ac:dyDescent="0.45">
      <c r="E112" s="39">
        <v>45383</v>
      </c>
      <c r="F112" s="39">
        <v>45383</v>
      </c>
      <c r="G112" s="39">
        <v>45383</v>
      </c>
      <c r="H112" s="39">
        <v>45383</v>
      </c>
    </row>
    <row r="113" spans="5:8" x14ac:dyDescent="0.45">
      <c r="E113" s="39">
        <v>45413</v>
      </c>
      <c r="F113" s="39">
        <v>45413</v>
      </c>
      <c r="G113" s="39">
        <v>45413</v>
      </c>
      <c r="H113" s="39">
        <v>45413</v>
      </c>
    </row>
    <row r="114" spans="5:8" x14ac:dyDescent="0.45">
      <c r="E114" s="39">
        <v>45444</v>
      </c>
      <c r="F114" s="39">
        <v>45444</v>
      </c>
      <c r="G114" s="39">
        <v>45444</v>
      </c>
      <c r="H114" s="39">
        <v>45444</v>
      </c>
    </row>
    <row r="115" spans="5:8" x14ac:dyDescent="0.45">
      <c r="E115" s="39">
        <v>45474</v>
      </c>
      <c r="F115" s="39">
        <v>45474</v>
      </c>
      <c r="G115" s="39">
        <v>45474</v>
      </c>
      <c r="H115" s="39">
        <v>45474</v>
      </c>
    </row>
    <row r="116" spans="5:8" x14ac:dyDescent="0.45">
      <c r="E116" s="39">
        <v>45505</v>
      </c>
      <c r="F116" s="39">
        <v>45505</v>
      </c>
      <c r="G116" s="39">
        <v>45505</v>
      </c>
      <c r="H116" s="39">
        <v>45505</v>
      </c>
    </row>
    <row r="117" spans="5:8" x14ac:dyDescent="0.45">
      <c r="E117" s="39">
        <v>45536</v>
      </c>
      <c r="F117" s="39">
        <v>45536</v>
      </c>
      <c r="G117" s="39">
        <v>45536</v>
      </c>
      <c r="H117" s="39">
        <v>45536</v>
      </c>
    </row>
    <row r="118" spans="5:8" x14ac:dyDescent="0.45">
      <c r="F118" s="39">
        <v>45566</v>
      </c>
      <c r="G118" s="39">
        <v>45566</v>
      </c>
      <c r="H118" s="39">
        <v>45566</v>
      </c>
    </row>
    <row r="119" spans="5:8" x14ac:dyDescent="0.45">
      <c r="F119" s="39">
        <v>45597</v>
      </c>
      <c r="G119" s="39">
        <v>45597</v>
      </c>
      <c r="H119" s="39">
        <v>45597</v>
      </c>
    </row>
    <row r="120" spans="5:8" x14ac:dyDescent="0.45">
      <c r="F120" s="39">
        <v>45627</v>
      </c>
      <c r="G120" s="39">
        <v>45627</v>
      </c>
      <c r="H120" s="39">
        <v>45627</v>
      </c>
    </row>
    <row r="121" spans="5:8" x14ac:dyDescent="0.45">
      <c r="F121" s="39">
        <v>45658</v>
      </c>
      <c r="G121" s="39">
        <v>45658</v>
      </c>
      <c r="H121" s="39">
        <v>45658</v>
      </c>
    </row>
    <row r="122" spans="5:8" x14ac:dyDescent="0.45">
      <c r="F122" s="39">
        <v>45689</v>
      </c>
      <c r="G122" s="39">
        <v>45689</v>
      </c>
      <c r="H122" s="39">
        <v>45689</v>
      </c>
    </row>
    <row r="123" spans="5:8" x14ac:dyDescent="0.45">
      <c r="F123" s="39">
        <v>45717</v>
      </c>
      <c r="G123" s="39">
        <v>45717</v>
      </c>
      <c r="H123" s="39">
        <v>45717</v>
      </c>
    </row>
    <row r="124" spans="5:8" x14ac:dyDescent="0.45">
      <c r="G124" s="39">
        <v>45748</v>
      </c>
      <c r="H124" s="39">
        <v>45748</v>
      </c>
    </row>
    <row r="125" spans="5:8" x14ac:dyDescent="0.45">
      <c r="G125" s="39">
        <v>45778</v>
      </c>
      <c r="H125" s="39">
        <v>45778</v>
      </c>
    </row>
    <row r="126" spans="5:8" x14ac:dyDescent="0.45">
      <c r="G126" s="39">
        <v>45809</v>
      </c>
      <c r="H126" s="39">
        <v>45809</v>
      </c>
    </row>
    <row r="127" spans="5:8" x14ac:dyDescent="0.45">
      <c r="G127" s="39">
        <v>45839</v>
      </c>
      <c r="H127" s="39">
        <v>45839</v>
      </c>
    </row>
    <row r="128" spans="5:8" x14ac:dyDescent="0.45">
      <c r="G128" s="39">
        <v>45870</v>
      </c>
      <c r="H128" s="39">
        <v>45870</v>
      </c>
    </row>
    <row r="129" spans="7:8" x14ac:dyDescent="0.45">
      <c r="G129" s="39">
        <v>45901</v>
      </c>
      <c r="H129" s="39">
        <v>45901</v>
      </c>
    </row>
    <row r="130" spans="7:8" x14ac:dyDescent="0.45">
      <c r="H130" s="39">
        <v>45931</v>
      </c>
    </row>
    <row r="131" spans="7:8" x14ac:dyDescent="0.45">
      <c r="H131" s="39">
        <v>45962</v>
      </c>
    </row>
    <row r="132" spans="7:8" x14ac:dyDescent="0.45">
      <c r="H132" s="39">
        <v>45992</v>
      </c>
    </row>
    <row r="133" spans="7:8" x14ac:dyDescent="0.45">
      <c r="H133" s="39">
        <v>46023</v>
      </c>
    </row>
    <row r="134" spans="7:8" x14ac:dyDescent="0.45">
      <c r="H134" s="39">
        <v>46054</v>
      </c>
    </row>
    <row r="135" spans="7:8" x14ac:dyDescent="0.45">
      <c r="H135" s="39">
        <v>46082</v>
      </c>
    </row>
  </sheetData>
  <sheetProtection algorithmName="SHA-512" hashValue="GC54aQzrTWK86QlqoXHAMiJJUk5aK949RRHZALlq+0PypwMTM+XfHyRjY/anycFCuOtl4yW7wZJuG8MFW18bYw==" saltValue="612x0o6Iv3LyuAECWfpaCg==" spinCount="100000" sheet="1" objects="1" scenarios="1"/>
  <mergeCells count="20">
    <mergeCell ref="B2:F2"/>
    <mergeCell ref="G2:K2"/>
    <mergeCell ref="N2:R2"/>
    <mergeCell ref="S2:W2"/>
    <mergeCell ref="N11:R11"/>
    <mergeCell ref="S11:W11"/>
    <mergeCell ref="B11:F11"/>
    <mergeCell ref="G11:K11"/>
    <mergeCell ref="B38:F38"/>
    <mergeCell ref="G38:K38"/>
    <mergeCell ref="N38:R38"/>
    <mergeCell ref="S38:W38"/>
    <mergeCell ref="N20:R20"/>
    <mergeCell ref="S20:W20"/>
    <mergeCell ref="N29:R29"/>
    <mergeCell ref="S29:W29"/>
    <mergeCell ref="B29:F29"/>
    <mergeCell ref="G29:K29"/>
    <mergeCell ref="B20:F20"/>
    <mergeCell ref="G20:K2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A166-DDA3-4E04-98E3-457783C80AA7}">
  <sheetPr codeName="Sheet1">
    <pageSetUpPr fitToPage="1"/>
  </sheetPr>
  <dimension ref="A1:R42"/>
  <sheetViews>
    <sheetView showGridLines="0" tabSelected="1" zoomScale="70" zoomScaleNormal="70" workbookViewId="0">
      <selection activeCell="T7" sqref="T7"/>
    </sheetView>
  </sheetViews>
  <sheetFormatPr defaultColWidth="9" defaultRowHeight="19.8" x14ac:dyDescent="0.45"/>
  <cols>
    <col min="1" max="1" width="4.59765625" style="57" customWidth="1"/>
    <col min="2" max="2" width="26.3984375" style="57" customWidth="1"/>
    <col min="3" max="3" width="5.3984375" style="57" customWidth="1"/>
    <col min="4" max="4" width="7.09765625" style="57" customWidth="1"/>
    <col min="5" max="5" width="12.8984375" style="57" customWidth="1"/>
    <col min="6" max="6" width="9.09765625" style="57" customWidth="1"/>
    <col min="7" max="9" width="4.19921875" style="57" customWidth="1"/>
    <col min="10" max="10" width="14" style="57" customWidth="1"/>
    <col min="11" max="11" width="9.09765625" style="57" customWidth="1"/>
    <col min="12" max="12" width="3.59765625" style="57" customWidth="1"/>
    <col min="13" max="14" width="7.59765625" style="57" customWidth="1"/>
    <col min="15" max="15" width="4.59765625" style="57" customWidth="1"/>
    <col min="16" max="20" width="9.59765625" style="57" customWidth="1"/>
    <col min="21" max="21" width="9" style="57"/>
    <col min="22" max="22" width="10.8984375" style="57" bestFit="1" customWidth="1"/>
    <col min="23" max="23" width="9" style="57"/>
    <col min="24" max="24" width="10.09765625" style="57" customWidth="1"/>
    <col min="25" max="16384" width="9" style="57"/>
  </cols>
  <sheetData>
    <row r="1" spans="1:16" ht="28.5" customHeight="1" x14ac:dyDescent="0.45">
      <c r="A1" s="191" t="s">
        <v>1931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9" customHeight="1" thickBot="1" x14ac:dyDescent="0.5">
      <c r="E2" s="58"/>
      <c r="F2" s="58"/>
      <c r="G2" s="58"/>
      <c r="H2" s="59"/>
      <c r="I2" s="59"/>
      <c r="J2" s="59"/>
      <c r="K2" s="59"/>
      <c r="L2" s="59"/>
      <c r="M2" s="59"/>
      <c r="N2" s="59"/>
    </row>
    <row r="3" spans="1:16" ht="24" customHeight="1" thickBot="1" x14ac:dyDescent="0.5">
      <c r="B3" s="60"/>
      <c r="C3" s="57" t="s">
        <v>90</v>
      </c>
    </row>
    <row r="4" spans="1:16" ht="18.75" customHeight="1" x14ac:dyDescent="0.45">
      <c r="C4" s="57" t="s">
        <v>91</v>
      </c>
    </row>
    <row r="5" spans="1:16" ht="10.5" customHeight="1" x14ac:dyDescent="0.45"/>
    <row r="6" spans="1:16" ht="18.75" customHeight="1" thickBot="1" x14ac:dyDescent="0.5">
      <c r="A6" s="57" t="s">
        <v>1884</v>
      </c>
      <c r="B6" s="61"/>
      <c r="C6" s="61"/>
      <c r="D6" s="61"/>
      <c r="E6" s="61"/>
      <c r="F6" s="61"/>
      <c r="G6" s="61"/>
      <c r="H6" s="61"/>
      <c r="I6" s="61"/>
      <c r="J6" s="61"/>
      <c r="K6" s="61"/>
      <c r="N6" s="62"/>
    </row>
    <row r="7" spans="1:16" ht="30.75" customHeight="1" thickBot="1" x14ac:dyDescent="0.5">
      <c r="A7" s="150" t="s">
        <v>1885</v>
      </c>
      <c r="B7" s="199"/>
      <c r="C7" s="194"/>
      <c r="D7" s="195"/>
      <c r="E7" s="196"/>
      <c r="F7" s="197"/>
      <c r="G7" s="174" t="s">
        <v>1887</v>
      </c>
      <c r="H7" s="148"/>
      <c r="I7" s="148"/>
      <c r="J7" s="150"/>
      <c r="K7" s="210" t="s">
        <v>1932</v>
      </c>
      <c r="L7" s="211"/>
      <c r="M7" s="210"/>
      <c r="N7" s="230"/>
      <c r="O7" s="211"/>
      <c r="P7" s="63"/>
    </row>
    <row r="8" spans="1:16" x14ac:dyDescent="0.45">
      <c r="O8" s="64"/>
    </row>
    <row r="9" spans="1:16" ht="18.75" customHeight="1" thickBot="1" x14ac:dyDescent="0.5">
      <c r="A9" s="57" t="s">
        <v>89</v>
      </c>
      <c r="B9" s="61"/>
      <c r="C9" s="61"/>
      <c r="D9" s="61"/>
      <c r="E9" s="61"/>
      <c r="F9" s="61"/>
      <c r="G9" s="61"/>
      <c r="H9" s="61"/>
      <c r="I9" s="61"/>
      <c r="J9" s="61"/>
      <c r="K9" s="61"/>
      <c r="N9" s="62"/>
    </row>
    <row r="10" spans="1:16" ht="29.25" customHeight="1" thickBot="1" x14ac:dyDescent="0.5">
      <c r="A10" s="150" t="s">
        <v>50</v>
      </c>
      <c r="B10" s="199"/>
      <c r="C10" s="194"/>
      <c r="D10" s="195"/>
      <c r="E10" s="196"/>
      <c r="F10" s="197"/>
      <c r="G10" s="174" t="s">
        <v>116</v>
      </c>
      <c r="H10" s="148"/>
      <c r="I10" s="148"/>
      <c r="J10" s="150"/>
      <c r="K10" s="210"/>
      <c r="L10" s="211"/>
      <c r="M10" s="210"/>
      <c r="N10" s="230"/>
      <c r="O10" s="211"/>
      <c r="P10" s="57" t="str">
        <f>IF(OR(K7="",K10=""),"",IF(AND(OR(M7="さいたま市",NOT(K7="埼玉県")),M10="さいたま市"),"申請先はさいたま市社協です！",IF(AND(M7="さいたま市",NOT(K10="埼玉県")),"申請先はさいたま市社協です！","")))</f>
        <v/>
      </c>
    </row>
    <row r="11" spans="1:16" ht="29.25" customHeight="1" thickBot="1" x14ac:dyDescent="0.5">
      <c r="A11" s="248" t="s">
        <v>1883</v>
      </c>
      <c r="B11" s="249"/>
      <c r="C11" s="252"/>
      <c r="D11" s="253"/>
      <c r="E11" s="253"/>
      <c r="F11" s="254"/>
      <c r="G11" s="174" t="s">
        <v>117</v>
      </c>
      <c r="H11" s="148"/>
      <c r="I11" s="150"/>
      <c r="J11" s="150"/>
      <c r="K11" s="228"/>
      <c r="L11" s="229"/>
      <c r="M11" s="204"/>
      <c r="N11" s="206"/>
      <c r="O11" s="205"/>
      <c r="P11" s="50" t="e">
        <f>IF(OR(データシート!M53&gt;=1,データシート!C49&gt;データシート!O57),"入学年月または学年に誤りがあります！修正してください。","")</f>
        <v>#VALUE!</v>
      </c>
    </row>
    <row r="12" spans="1:16" ht="29.25" customHeight="1" thickBot="1" x14ac:dyDescent="0.5">
      <c r="A12" s="250"/>
      <c r="B12" s="251"/>
      <c r="C12" s="255"/>
      <c r="D12" s="256"/>
      <c r="E12" s="256"/>
      <c r="F12" s="257"/>
      <c r="G12" s="174" t="s">
        <v>118</v>
      </c>
      <c r="H12" s="148"/>
      <c r="I12" s="150"/>
      <c r="J12" s="150"/>
      <c r="K12" s="210"/>
      <c r="L12" s="230"/>
      <c r="M12" s="245"/>
      <c r="N12" s="243" t="s">
        <v>92</v>
      </c>
      <c r="O12" s="244"/>
      <c r="P12" s="50" t="str">
        <f>IF(データシート!G53&gt;=1,"学年または修業年限に誤りがあります！修正してください。","")</f>
        <v/>
      </c>
    </row>
    <row r="13" spans="1:16" ht="29.25" customHeight="1" thickBot="1" x14ac:dyDescent="0.5">
      <c r="A13" s="148" t="s">
        <v>51</v>
      </c>
      <c r="B13" s="150"/>
      <c r="C13" s="194"/>
      <c r="D13" s="195"/>
      <c r="E13" s="196"/>
      <c r="F13" s="197"/>
      <c r="G13" s="198" t="s">
        <v>119</v>
      </c>
      <c r="H13" s="151"/>
      <c r="I13" s="151"/>
      <c r="J13" s="199"/>
      <c r="K13" s="204"/>
      <c r="L13" s="205"/>
      <c r="M13" s="204"/>
      <c r="N13" s="206"/>
      <c r="O13" s="205"/>
      <c r="P13" s="65" t="str">
        <f>IF(K14&lt;データシート!O57,"卒業年月を過ぎています！入学年月または修業年限に誤りがないか確認してください。","")</f>
        <v/>
      </c>
    </row>
    <row r="14" spans="1:16" ht="29.25" customHeight="1" thickBot="1" x14ac:dyDescent="0.5">
      <c r="A14" s="200" t="s">
        <v>63</v>
      </c>
      <c r="B14" s="150"/>
      <c r="C14" s="194"/>
      <c r="D14" s="195"/>
      <c r="E14" s="196"/>
      <c r="F14" s="197"/>
      <c r="G14" s="174" t="s">
        <v>120</v>
      </c>
      <c r="H14" s="148"/>
      <c r="I14" s="150"/>
      <c r="J14" s="150"/>
      <c r="K14" s="246" t="str">
        <f>IFERROR(IF(データシート!C50="","",データシート!C50),"")</f>
        <v/>
      </c>
      <c r="L14" s="246"/>
      <c r="M14" s="246"/>
      <c r="N14" s="246"/>
      <c r="O14" s="246"/>
    </row>
    <row r="16" spans="1:16" ht="18.75" customHeight="1" thickBot="1" x14ac:dyDescent="0.5">
      <c r="A16" s="57" t="s">
        <v>75</v>
      </c>
      <c r="B16" s="61"/>
      <c r="C16" s="61"/>
      <c r="D16" s="61"/>
      <c r="E16" s="247" t="s">
        <v>1924</v>
      </c>
      <c r="F16" s="247"/>
      <c r="G16" s="247"/>
      <c r="H16" s="247"/>
      <c r="I16" s="247"/>
      <c r="J16" s="247"/>
      <c r="K16" s="247"/>
      <c r="N16" s="62"/>
      <c r="O16" s="62"/>
    </row>
    <row r="17" spans="1:18" ht="25.5" customHeight="1" thickBot="1" x14ac:dyDescent="0.5">
      <c r="A17" s="192" t="s">
        <v>0</v>
      </c>
      <c r="B17" s="66" t="s">
        <v>1</v>
      </c>
      <c r="C17" s="122"/>
      <c r="D17" s="123"/>
      <c r="E17" s="124"/>
      <c r="F17" s="67" t="s">
        <v>6</v>
      </c>
      <c r="G17" s="192" t="s">
        <v>7</v>
      </c>
      <c r="H17" s="152" t="s">
        <v>14</v>
      </c>
      <c r="I17" s="153"/>
      <c r="J17" s="153"/>
      <c r="K17" s="122"/>
      <c r="L17" s="123"/>
      <c r="M17" s="123"/>
      <c r="N17" s="139" t="s">
        <v>6</v>
      </c>
      <c r="O17" s="140"/>
    </row>
    <row r="18" spans="1:18" ht="25.5" customHeight="1" thickBot="1" x14ac:dyDescent="0.5">
      <c r="A18" s="193"/>
      <c r="B18" s="66" t="s">
        <v>54</v>
      </c>
      <c r="C18" s="122"/>
      <c r="D18" s="123"/>
      <c r="E18" s="124"/>
      <c r="F18" s="67" t="s">
        <v>6</v>
      </c>
      <c r="G18" s="193"/>
      <c r="H18" s="152" t="s">
        <v>13</v>
      </c>
      <c r="I18" s="153"/>
      <c r="J18" s="153"/>
      <c r="K18" s="122"/>
      <c r="L18" s="123"/>
      <c r="M18" s="123"/>
      <c r="N18" s="139" t="s">
        <v>6</v>
      </c>
      <c r="O18" s="140"/>
    </row>
    <row r="19" spans="1:18" ht="25.5" customHeight="1" thickBot="1" x14ac:dyDescent="0.5">
      <c r="A19" s="193"/>
      <c r="B19" s="68" t="s">
        <v>53</v>
      </c>
      <c r="C19" s="122"/>
      <c r="D19" s="123"/>
      <c r="E19" s="124"/>
      <c r="F19" s="67" t="s">
        <v>6</v>
      </c>
      <c r="G19" s="193"/>
      <c r="H19" s="152" t="s">
        <v>12</v>
      </c>
      <c r="I19" s="153"/>
      <c r="J19" s="153"/>
      <c r="K19" s="122"/>
      <c r="L19" s="123"/>
      <c r="M19" s="124"/>
      <c r="N19" s="141" t="s">
        <v>6</v>
      </c>
      <c r="O19" s="140"/>
    </row>
    <row r="20" spans="1:18" ht="25.5" customHeight="1" thickBot="1" x14ac:dyDescent="0.5">
      <c r="A20" s="193"/>
      <c r="B20" s="66" t="s">
        <v>3</v>
      </c>
      <c r="C20" s="122"/>
      <c r="D20" s="123"/>
      <c r="E20" s="124"/>
      <c r="F20" s="67" t="s">
        <v>6</v>
      </c>
      <c r="G20" s="203"/>
      <c r="H20" s="225" t="s">
        <v>11</v>
      </c>
      <c r="I20" s="226"/>
      <c r="J20" s="226"/>
      <c r="K20" s="122"/>
      <c r="L20" s="123"/>
      <c r="M20" s="124"/>
      <c r="N20" s="142" t="s">
        <v>6</v>
      </c>
      <c r="O20" s="143"/>
    </row>
    <row r="21" spans="1:18" ht="25.5" customHeight="1" thickTop="1" thickBot="1" x14ac:dyDescent="0.5">
      <c r="A21" s="193"/>
      <c r="B21" s="66" t="s">
        <v>4</v>
      </c>
      <c r="C21" s="122"/>
      <c r="D21" s="123"/>
      <c r="E21" s="124"/>
      <c r="F21" s="67" t="s">
        <v>6</v>
      </c>
      <c r="G21" s="167"/>
      <c r="H21" s="212" t="s">
        <v>10</v>
      </c>
      <c r="I21" s="213"/>
      <c r="J21" s="214"/>
      <c r="K21" s="207">
        <f>C23+K17+K18+K19+K20</f>
        <v>0</v>
      </c>
      <c r="L21" s="207"/>
      <c r="M21" s="201"/>
      <c r="N21" s="144" t="s">
        <v>6</v>
      </c>
      <c r="O21" s="145"/>
    </row>
    <row r="22" spans="1:18" ht="25.5" customHeight="1" thickBot="1" x14ac:dyDescent="0.5">
      <c r="A22" s="193"/>
      <c r="B22" s="69" t="s">
        <v>5</v>
      </c>
      <c r="C22" s="122"/>
      <c r="D22" s="123"/>
      <c r="E22" s="124"/>
      <c r="F22" s="70" t="s">
        <v>6</v>
      </c>
      <c r="G22" s="168"/>
      <c r="H22" s="215"/>
      <c r="I22" s="216"/>
      <c r="J22" s="217"/>
      <c r="K22" s="208"/>
      <c r="L22" s="208"/>
      <c r="M22" s="209"/>
      <c r="N22" s="141"/>
      <c r="O22" s="140"/>
    </row>
    <row r="23" spans="1:18" ht="25.5" customHeight="1" thickTop="1" x14ac:dyDescent="0.45">
      <c r="A23" s="193"/>
      <c r="B23" s="71" t="s">
        <v>35</v>
      </c>
      <c r="C23" s="201">
        <f>C17+C18+C20+C21+C22</f>
        <v>0</v>
      </c>
      <c r="D23" s="202"/>
      <c r="E23" s="202"/>
      <c r="F23" s="72" t="s">
        <v>6</v>
      </c>
      <c r="G23" s="192" t="s">
        <v>8</v>
      </c>
      <c r="H23" s="221" t="s">
        <v>9</v>
      </c>
      <c r="I23" s="222"/>
      <c r="J23" s="223"/>
      <c r="K23" s="234">
        <f>C24+K17+K18+K19+K20</f>
        <v>0</v>
      </c>
      <c r="L23" s="235"/>
      <c r="M23" s="235"/>
      <c r="N23" s="141" t="s">
        <v>6</v>
      </c>
      <c r="O23" s="140"/>
    </row>
    <row r="24" spans="1:18" ht="25.5" customHeight="1" x14ac:dyDescent="0.45">
      <c r="A24" s="168"/>
      <c r="B24" s="73" t="s">
        <v>36</v>
      </c>
      <c r="C24" s="209">
        <f>C19+C20+C21+C22</f>
        <v>0</v>
      </c>
      <c r="D24" s="224"/>
      <c r="E24" s="224"/>
      <c r="F24" s="67" t="s">
        <v>6</v>
      </c>
      <c r="G24" s="168"/>
      <c r="H24" s="215"/>
      <c r="I24" s="216"/>
      <c r="J24" s="217"/>
      <c r="K24" s="201"/>
      <c r="L24" s="202"/>
      <c r="M24" s="202"/>
      <c r="N24" s="141"/>
      <c r="O24" s="140"/>
    </row>
    <row r="26" spans="1:18" ht="18.75" customHeight="1" x14ac:dyDescent="0.45">
      <c r="A26" s="57" t="s">
        <v>88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N26" s="62"/>
      <c r="O26" s="62" t="s">
        <v>76</v>
      </c>
    </row>
    <row r="27" spans="1:18" ht="20.399999999999999" thickBot="1" x14ac:dyDescent="0.5">
      <c r="A27" s="200" t="s">
        <v>15</v>
      </c>
      <c r="B27" s="200"/>
      <c r="C27" s="125" t="s">
        <v>17</v>
      </c>
      <c r="D27" s="126"/>
      <c r="E27" s="126"/>
      <c r="F27" s="127"/>
      <c r="G27" s="150" t="s">
        <v>16</v>
      </c>
      <c r="H27" s="151"/>
      <c r="I27" s="126"/>
      <c r="J27" s="126"/>
      <c r="K27" s="127"/>
      <c r="L27" s="148" t="s">
        <v>1930</v>
      </c>
      <c r="M27" s="148"/>
      <c r="N27" s="148"/>
      <c r="O27" s="148"/>
    </row>
    <row r="28" spans="1:18" ht="33" customHeight="1" thickBot="1" x14ac:dyDescent="0.5">
      <c r="A28" s="200"/>
      <c r="B28" s="240"/>
      <c r="C28" s="210"/>
      <c r="D28" s="230"/>
      <c r="E28" s="230"/>
      <c r="F28" s="211"/>
      <c r="G28" s="218" t="s">
        <v>18</v>
      </c>
      <c r="H28" s="218"/>
      <c r="I28" s="210"/>
      <c r="J28" s="211"/>
      <c r="K28" s="74" t="s">
        <v>16</v>
      </c>
      <c r="L28" s="149" t="str">
        <f>IF(I28="Ⅰ","全額支援",IF(I28="Ⅱ","２／３支援",IF(I28="Ⅲ","１／３支援",IF(I28="Ⅳ","全額支援","―"))))</f>
        <v>―</v>
      </c>
      <c r="M28" s="149"/>
      <c r="N28" s="149"/>
      <c r="O28" s="149"/>
    </row>
    <row r="29" spans="1:18" ht="42.75" customHeight="1" thickBot="1" x14ac:dyDescent="0.5">
      <c r="A29" s="200"/>
      <c r="B29" s="200"/>
      <c r="C29" s="165" t="s">
        <v>19</v>
      </c>
      <c r="D29" s="165"/>
      <c r="E29" s="166"/>
      <c r="F29" s="75" t="s">
        <v>20</v>
      </c>
      <c r="G29" s="219">
        <f>IF(OR(C28="対象者でない",C28="申請中"),0,IF(データシート!F78&gt;0,データシート!F78,0))</f>
        <v>0</v>
      </c>
      <c r="H29" s="219"/>
      <c r="I29" s="220"/>
      <c r="J29" s="220"/>
      <c r="K29" s="76" t="s">
        <v>21</v>
      </c>
      <c r="L29" s="227">
        <f>IF(OR(C28="対象者でない",C28="申請中"),0,IF(データシート!C78&gt;0,データシート!C78,0))</f>
        <v>0</v>
      </c>
      <c r="M29" s="227"/>
      <c r="N29" s="227"/>
      <c r="O29" s="77" t="s">
        <v>6</v>
      </c>
    </row>
    <row r="30" spans="1:18" ht="39.75" customHeight="1" thickBot="1" x14ac:dyDescent="0.5">
      <c r="A30" s="241" t="s">
        <v>104</v>
      </c>
      <c r="B30" s="242"/>
      <c r="C30" s="120"/>
      <c r="D30" s="121"/>
      <c r="E30" s="78"/>
      <c r="F30" s="79" t="s">
        <v>22</v>
      </c>
      <c r="G30" s="120"/>
      <c r="H30" s="160"/>
      <c r="I30" s="121"/>
      <c r="J30" s="78"/>
      <c r="K30" s="146">
        <f>IF(OR(C30="",E30="",G30="",J30=""),0,(SUM(DATEDIF(データシート!C59,データシート!C60,"m"),1)))</f>
        <v>0</v>
      </c>
      <c r="L30" s="147"/>
      <c r="M30" s="80" t="s">
        <v>23</v>
      </c>
      <c r="N30" s="81" t="e">
        <f>IF(データシート!K59="誤","借入希望期間に誤りがあります！入力を修正してください。",IF(データシート!G59="誤","借入開始日に誤りがあります！入力を修正してください。",IF(データシート!G60="誤","借入終了日に誤りがあります！入力を修正してください。",IF(データシート!K64="誤","借入希望月数が上限を超えています！入力を修正してください。",""))))</f>
        <v>#VALUE!</v>
      </c>
      <c r="O30" s="82"/>
      <c r="R30" s="83"/>
    </row>
    <row r="31" spans="1:18" ht="26.25" customHeight="1" thickBot="1" x14ac:dyDescent="0.5">
      <c r="A31" s="236" t="s">
        <v>1898</v>
      </c>
      <c r="B31" s="237"/>
      <c r="C31" s="128" t="str">
        <f>データシート!P59</f>
        <v>2026年</v>
      </c>
      <c r="D31" s="129"/>
      <c r="E31" s="84" t="str">
        <f>データシート!Q59</f>
        <v>4月</v>
      </c>
      <c r="F31" s="59" t="s">
        <v>22</v>
      </c>
      <c r="G31" s="231" t="str">
        <f>IFERROR(データシート!P60,"")</f>
        <v/>
      </c>
      <c r="H31" s="232"/>
      <c r="I31" s="233"/>
      <c r="J31" s="85" t="str">
        <f>IFERROR(データシート!Q60,"")</f>
        <v/>
      </c>
      <c r="K31" s="238" t="str">
        <f>IFERROR(IF((SUM(DATEDIF(データシート!S59,データシート!S60,"m"),1))&gt;24,"の内、24",(SUM(DATEDIF(データシート!S59,データシート!S60,"m"),1))),"")</f>
        <v/>
      </c>
      <c r="L31" s="238"/>
      <c r="M31" s="239" t="s">
        <v>23</v>
      </c>
      <c r="N31" s="239"/>
      <c r="O31" s="239"/>
      <c r="R31" s="83"/>
    </row>
    <row r="32" spans="1:18" ht="39.75" customHeight="1" thickBot="1" x14ac:dyDescent="0.5">
      <c r="A32" s="169" t="s">
        <v>24</v>
      </c>
      <c r="B32" s="86" t="s">
        <v>25</v>
      </c>
      <c r="C32" s="130" t="s">
        <v>28</v>
      </c>
      <c r="D32" s="131"/>
      <c r="E32" s="172"/>
      <c r="F32" s="173"/>
      <c r="G32" s="87" t="s">
        <v>6</v>
      </c>
      <c r="H32" s="88" t="s">
        <v>1886</v>
      </c>
      <c r="I32" s="156"/>
      <c r="J32" s="157"/>
      <c r="K32" s="89" t="s">
        <v>82</v>
      </c>
      <c r="L32" s="89" t="s">
        <v>33</v>
      </c>
      <c r="M32" s="187">
        <f>E32*I32</f>
        <v>0</v>
      </c>
      <c r="N32" s="187"/>
      <c r="O32" s="90" t="s">
        <v>6</v>
      </c>
      <c r="P32" s="50" t="str">
        <f>IF(AND(E32=0,M33&gt;0,NOT(ISBLANK(I32))),"学費は申請必須です！月額を入力してください。",IF(AND(I32=0,M33&gt;0,NOT(ISBLANK(E32))),"学費は申請必須です！月数を入力してください。",IF(E32&gt;E33,"申請金額が上限を超えています！入力を修正してください。",IF(I32&gt;I33,"申請回数が上限を超えています！入力を修正してください。",""))))</f>
        <v/>
      </c>
      <c r="Q32" s="83"/>
      <c r="R32" s="83"/>
    </row>
    <row r="33" spans="1:16" ht="26.25" customHeight="1" thickBot="1" x14ac:dyDescent="0.5">
      <c r="A33" s="170"/>
      <c r="B33" s="91" t="s">
        <v>86</v>
      </c>
      <c r="C33" s="132" t="s">
        <v>28</v>
      </c>
      <c r="D33" s="133"/>
      <c r="E33" s="185">
        <f>IF(K23-G29&gt;600000,50000,データシート!C64)</f>
        <v>0</v>
      </c>
      <c r="F33" s="185"/>
      <c r="G33" s="92" t="s">
        <v>6</v>
      </c>
      <c r="H33" s="93" t="s">
        <v>1886</v>
      </c>
      <c r="I33" s="158">
        <f>IF(OR(K30&gt;K31,K30&gt;49),K31,K30)</f>
        <v>0</v>
      </c>
      <c r="J33" s="158"/>
      <c r="K33" s="92" t="s">
        <v>32</v>
      </c>
      <c r="L33" s="94" t="s">
        <v>33</v>
      </c>
      <c r="M33" s="180">
        <f t="shared" ref="M33:M37" si="0">E33*I33</f>
        <v>0</v>
      </c>
      <c r="N33" s="180"/>
      <c r="O33" s="95" t="s">
        <v>6</v>
      </c>
    </row>
    <row r="34" spans="1:16" ht="38.25" customHeight="1" thickBot="1" x14ac:dyDescent="0.5">
      <c r="A34" s="170"/>
      <c r="B34" s="86" t="s">
        <v>26</v>
      </c>
      <c r="C34" s="134" t="s">
        <v>80</v>
      </c>
      <c r="D34" s="135"/>
      <c r="E34" s="172"/>
      <c r="F34" s="173"/>
      <c r="G34" s="96" t="s">
        <v>6</v>
      </c>
      <c r="H34" s="97" t="s">
        <v>1886</v>
      </c>
      <c r="I34" s="156"/>
      <c r="J34" s="157"/>
      <c r="K34" s="96" t="s">
        <v>83</v>
      </c>
      <c r="L34" s="98" t="s">
        <v>33</v>
      </c>
      <c r="M34" s="188">
        <f>E34*I34</f>
        <v>0</v>
      </c>
      <c r="N34" s="188"/>
      <c r="O34" s="90" t="s">
        <v>6</v>
      </c>
      <c r="P34" s="50" t="str">
        <f>IF(E34&gt;E35,"申請金額が上限を超えています！修正してください。",IF(I34&gt;I35,"申請回数が上限を超えています！修正してください。",""))</f>
        <v/>
      </c>
    </row>
    <row r="35" spans="1:16" ht="26.25" customHeight="1" thickBot="1" x14ac:dyDescent="0.5">
      <c r="A35" s="170"/>
      <c r="B35" s="91" t="s">
        <v>86</v>
      </c>
      <c r="C35" s="136" t="s">
        <v>29</v>
      </c>
      <c r="D35" s="137"/>
      <c r="E35" s="185">
        <f>IFERROR(IF(データシート!C49&lt;データシート!O57,0,IF(C17-L29&gt;200000,200000,ROUNDDOWN((C17-L29),-3))),0)</f>
        <v>0</v>
      </c>
      <c r="F35" s="185"/>
      <c r="G35" s="92" t="s">
        <v>6</v>
      </c>
      <c r="H35" s="93" t="s">
        <v>1886</v>
      </c>
      <c r="I35" s="158">
        <f>IFERROR(IF(C17=0,0,IF(データシート!C49&gt;=データシート!O57,1,0)),0)</f>
        <v>0</v>
      </c>
      <c r="J35" s="158"/>
      <c r="K35" s="92" t="s">
        <v>34</v>
      </c>
      <c r="L35" s="94" t="s">
        <v>33</v>
      </c>
      <c r="M35" s="180">
        <f t="shared" si="0"/>
        <v>0</v>
      </c>
      <c r="N35" s="180"/>
      <c r="O35" s="95" t="s">
        <v>6</v>
      </c>
    </row>
    <row r="36" spans="1:16" ht="38.25" customHeight="1" thickBot="1" x14ac:dyDescent="0.5">
      <c r="A36" s="170"/>
      <c r="B36" s="86" t="s">
        <v>27</v>
      </c>
      <c r="C36" s="134" t="s">
        <v>81</v>
      </c>
      <c r="D36" s="135"/>
      <c r="E36" s="172"/>
      <c r="F36" s="173"/>
      <c r="G36" s="96" t="s">
        <v>6</v>
      </c>
      <c r="H36" s="97" t="s">
        <v>1886</v>
      </c>
      <c r="I36" s="156"/>
      <c r="J36" s="157"/>
      <c r="K36" s="96" t="s">
        <v>83</v>
      </c>
      <c r="L36" s="98" t="s">
        <v>79</v>
      </c>
      <c r="M36" s="188">
        <f>E36*I36</f>
        <v>0</v>
      </c>
      <c r="N36" s="188"/>
      <c r="O36" s="99" t="s">
        <v>6</v>
      </c>
    </row>
    <row r="37" spans="1:16" ht="26.25" customHeight="1" x14ac:dyDescent="0.45">
      <c r="A37" s="170"/>
      <c r="B37" s="91" t="s">
        <v>86</v>
      </c>
      <c r="C37" s="136" t="s">
        <v>30</v>
      </c>
      <c r="D37" s="137"/>
      <c r="E37" s="184">
        <v>200000</v>
      </c>
      <c r="F37" s="184"/>
      <c r="G37" s="92" t="s">
        <v>6</v>
      </c>
      <c r="H37" s="93" t="s">
        <v>1886</v>
      </c>
      <c r="I37" s="159">
        <v>1</v>
      </c>
      <c r="J37" s="159"/>
      <c r="K37" s="92" t="s">
        <v>34</v>
      </c>
      <c r="L37" s="94" t="s">
        <v>33</v>
      </c>
      <c r="M37" s="180">
        <f t="shared" si="0"/>
        <v>200000</v>
      </c>
      <c r="N37" s="180"/>
      <c r="O37" s="95" t="s">
        <v>6</v>
      </c>
    </row>
    <row r="38" spans="1:16" ht="25.5" customHeight="1" thickBot="1" x14ac:dyDescent="0.55000000000000004">
      <c r="A38" s="170"/>
      <c r="B38" s="100" t="s">
        <v>1901</v>
      </c>
      <c r="C38" s="101" t="s">
        <v>1900</v>
      </c>
      <c r="D38" s="161" t="s">
        <v>1903</v>
      </c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2"/>
    </row>
    <row r="39" spans="1:16" ht="38.25" customHeight="1" thickBot="1" x14ac:dyDescent="0.5">
      <c r="A39" s="170"/>
      <c r="B39" s="102" t="s">
        <v>1908</v>
      </c>
      <c r="C39" s="163" t="s">
        <v>28</v>
      </c>
      <c r="D39" s="164"/>
      <c r="E39" s="189"/>
      <c r="F39" s="190"/>
      <c r="G39" s="103" t="s">
        <v>6</v>
      </c>
      <c r="H39" s="104" t="s">
        <v>1886</v>
      </c>
      <c r="I39" s="154"/>
      <c r="J39" s="155"/>
      <c r="K39" s="105" t="s">
        <v>82</v>
      </c>
      <c r="L39" s="106" t="s">
        <v>79</v>
      </c>
      <c r="M39" s="138">
        <f>IF(データシート!E63=TRUE,E39*I39,0)</f>
        <v>0</v>
      </c>
      <c r="N39" s="138"/>
      <c r="O39" s="107" t="s">
        <v>6</v>
      </c>
      <c r="P39" s="50" t="str">
        <f>IF(AND(E39&gt;E40,データシート!E63=TRUE),"申請金額が上限を超えています！修正してください。",IF(AND(データシート!E63=TRUE,I39&gt;I40),"申請回数が上限を超えています！修正してください。",""))</f>
        <v/>
      </c>
    </row>
    <row r="40" spans="1:16" ht="26.25" customHeight="1" thickBot="1" x14ac:dyDescent="0.5">
      <c r="A40" s="170"/>
      <c r="B40" s="108" t="s">
        <v>85</v>
      </c>
      <c r="C40" s="118" t="s">
        <v>28</v>
      </c>
      <c r="D40" s="119"/>
      <c r="E40" s="183"/>
      <c r="F40" s="183"/>
      <c r="G40" s="109" t="s">
        <v>6</v>
      </c>
      <c r="H40" s="110" t="s">
        <v>31</v>
      </c>
      <c r="I40" s="186">
        <f>IF(データシート!E63=FALSE,0,IF(OR(K30&gt;K31,K30&gt;49),K31,K30))</f>
        <v>0</v>
      </c>
      <c r="J40" s="186"/>
      <c r="K40" s="109" t="s">
        <v>32</v>
      </c>
      <c r="L40" s="111" t="s">
        <v>33</v>
      </c>
      <c r="M40" s="181">
        <f>IF(データシート!E63=FALSE,0,E40*I40)</f>
        <v>0</v>
      </c>
      <c r="N40" s="181"/>
      <c r="O40" s="112" t="s">
        <v>6</v>
      </c>
    </row>
    <row r="41" spans="1:16" ht="38.25" customHeight="1" thickTop="1" x14ac:dyDescent="0.45">
      <c r="A41" s="170"/>
      <c r="B41" s="113" t="s">
        <v>84</v>
      </c>
      <c r="C41" s="177"/>
      <c r="D41" s="178"/>
      <c r="E41" s="178"/>
      <c r="F41" s="178"/>
      <c r="G41" s="178"/>
      <c r="H41" s="178"/>
      <c r="I41" s="114"/>
      <c r="J41" s="179">
        <f>M32+M34+M36+M39</f>
        <v>0</v>
      </c>
      <c r="K41" s="179"/>
      <c r="L41" s="179"/>
      <c r="M41" s="179"/>
      <c r="N41" s="179"/>
      <c r="O41" s="115" t="s">
        <v>6</v>
      </c>
    </row>
    <row r="42" spans="1:16" ht="26.25" customHeight="1" x14ac:dyDescent="0.45">
      <c r="A42" s="171"/>
      <c r="B42" s="116" t="s">
        <v>87</v>
      </c>
      <c r="C42" s="175"/>
      <c r="D42" s="176"/>
      <c r="E42" s="176"/>
      <c r="F42" s="176"/>
      <c r="G42" s="176"/>
      <c r="H42" s="176"/>
      <c r="I42" s="93"/>
      <c r="J42" s="182">
        <f>M33+M35+M37+M40</f>
        <v>200000</v>
      </c>
      <c r="K42" s="182"/>
      <c r="L42" s="182"/>
      <c r="M42" s="182"/>
      <c r="N42" s="182"/>
      <c r="O42" s="117" t="s">
        <v>6</v>
      </c>
    </row>
  </sheetData>
  <sheetProtection algorithmName="SHA-512" hashValue="pwCgf07kUrTPTPaCWxqIcxl3DrUYGBOd4ZwPWCXrzAgvosaJASdf4Nd19lmiB/I6E7r6IhuBSFTVfPVKCLwPpw==" saltValue="c5OrySwKCSqFKfg4CYE/Ng==" spinCount="100000" sheet="1" objects="1" scenarios="1"/>
  <mergeCells count="117">
    <mergeCell ref="L29:N29"/>
    <mergeCell ref="A7:B7"/>
    <mergeCell ref="C7:F7"/>
    <mergeCell ref="G10:J10"/>
    <mergeCell ref="K11:L11"/>
    <mergeCell ref="K10:L10"/>
    <mergeCell ref="M10:O10"/>
    <mergeCell ref="M7:O7"/>
    <mergeCell ref="G31:I31"/>
    <mergeCell ref="K23:M24"/>
    <mergeCell ref="A31:B31"/>
    <mergeCell ref="K31:L31"/>
    <mergeCell ref="M31:O31"/>
    <mergeCell ref="I28:J28"/>
    <mergeCell ref="A27:B29"/>
    <mergeCell ref="A30:B30"/>
    <mergeCell ref="N12:O12"/>
    <mergeCell ref="M13:O13"/>
    <mergeCell ref="K12:M12"/>
    <mergeCell ref="K14:O14"/>
    <mergeCell ref="E16:K16"/>
    <mergeCell ref="A11:B12"/>
    <mergeCell ref="C11:F12"/>
    <mergeCell ref="C28:F28"/>
    <mergeCell ref="H21:J22"/>
    <mergeCell ref="G28:H28"/>
    <mergeCell ref="C21:E21"/>
    <mergeCell ref="E34:F34"/>
    <mergeCell ref="G29:J29"/>
    <mergeCell ref="C20:E20"/>
    <mergeCell ref="H23:J24"/>
    <mergeCell ref="C22:E22"/>
    <mergeCell ref="C24:E24"/>
    <mergeCell ref="H20:J20"/>
    <mergeCell ref="A1:O1"/>
    <mergeCell ref="A17:A24"/>
    <mergeCell ref="C17:E17"/>
    <mergeCell ref="A13:B13"/>
    <mergeCell ref="C10:F10"/>
    <mergeCell ref="C13:F13"/>
    <mergeCell ref="G11:J11"/>
    <mergeCell ref="G12:J12"/>
    <mergeCell ref="G13:J13"/>
    <mergeCell ref="A14:B14"/>
    <mergeCell ref="C14:F14"/>
    <mergeCell ref="C23:E23"/>
    <mergeCell ref="G17:G20"/>
    <mergeCell ref="K13:L13"/>
    <mergeCell ref="K18:M18"/>
    <mergeCell ref="K20:M20"/>
    <mergeCell ref="K19:M19"/>
    <mergeCell ref="K17:M17"/>
    <mergeCell ref="G23:G24"/>
    <mergeCell ref="A10:B10"/>
    <mergeCell ref="M11:O11"/>
    <mergeCell ref="K21:M22"/>
    <mergeCell ref="G7:J7"/>
    <mergeCell ref="K7:L7"/>
    <mergeCell ref="A32:A42"/>
    <mergeCell ref="E32:F32"/>
    <mergeCell ref="G14:J14"/>
    <mergeCell ref="C42:H42"/>
    <mergeCell ref="C41:H41"/>
    <mergeCell ref="J41:N41"/>
    <mergeCell ref="M33:N33"/>
    <mergeCell ref="M35:N35"/>
    <mergeCell ref="M37:N37"/>
    <mergeCell ref="M40:N40"/>
    <mergeCell ref="J42:N42"/>
    <mergeCell ref="E40:F40"/>
    <mergeCell ref="E37:F37"/>
    <mergeCell ref="E35:F35"/>
    <mergeCell ref="E33:F33"/>
    <mergeCell ref="I40:J40"/>
    <mergeCell ref="H18:J18"/>
    <mergeCell ref="H17:J17"/>
    <mergeCell ref="C18:E18"/>
    <mergeCell ref="M32:N32"/>
    <mergeCell ref="M34:N34"/>
    <mergeCell ref="E36:F36"/>
    <mergeCell ref="M36:N36"/>
    <mergeCell ref="E39:F39"/>
    <mergeCell ref="M39:N39"/>
    <mergeCell ref="N17:O17"/>
    <mergeCell ref="N18:O18"/>
    <mergeCell ref="N19:O19"/>
    <mergeCell ref="N20:O20"/>
    <mergeCell ref="N23:O24"/>
    <mergeCell ref="N21:O22"/>
    <mergeCell ref="K30:L30"/>
    <mergeCell ref="L27:O27"/>
    <mergeCell ref="L28:O28"/>
    <mergeCell ref="G27:K27"/>
    <mergeCell ref="H19:J19"/>
    <mergeCell ref="I39:J39"/>
    <mergeCell ref="I36:J36"/>
    <mergeCell ref="I34:J34"/>
    <mergeCell ref="I32:J32"/>
    <mergeCell ref="I33:J33"/>
    <mergeCell ref="I35:J35"/>
    <mergeCell ref="I37:J37"/>
    <mergeCell ref="G30:I30"/>
    <mergeCell ref="D38:O38"/>
    <mergeCell ref="C39:D39"/>
    <mergeCell ref="C29:E29"/>
    <mergeCell ref="G21:G22"/>
    <mergeCell ref="C40:D40"/>
    <mergeCell ref="C30:D30"/>
    <mergeCell ref="C19:E19"/>
    <mergeCell ref="C27:F27"/>
    <mergeCell ref="C31:D31"/>
    <mergeCell ref="C32:D32"/>
    <mergeCell ref="C33:D33"/>
    <mergeCell ref="C34:D34"/>
    <mergeCell ref="C35:D35"/>
    <mergeCell ref="C36:D36"/>
    <mergeCell ref="C37:D37"/>
  </mergeCells>
  <phoneticPr fontId="1"/>
  <conditionalFormatting sqref="C30">
    <cfRule type="expression" dxfId="80" priority="111">
      <formula>$C$30&lt;&gt;""</formula>
    </cfRule>
  </conditionalFormatting>
  <conditionalFormatting sqref="C17:E17">
    <cfRule type="expression" dxfId="79" priority="152">
      <formula>$C$17&lt;&gt;""</formula>
    </cfRule>
  </conditionalFormatting>
  <conditionalFormatting sqref="C18:E18">
    <cfRule type="expression" dxfId="78" priority="151">
      <formula>$C$18&lt;&gt;""</formula>
    </cfRule>
  </conditionalFormatting>
  <conditionalFormatting sqref="C19:E19">
    <cfRule type="expression" dxfId="77" priority="150">
      <formula>$C$19&lt;&gt;""</formula>
    </cfRule>
  </conditionalFormatting>
  <conditionalFormatting sqref="C20:E20">
    <cfRule type="expression" dxfId="76" priority="149">
      <formula>$C$20&lt;&gt;""</formula>
    </cfRule>
  </conditionalFormatting>
  <conditionalFormatting sqref="C21:E21">
    <cfRule type="expression" dxfId="75" priority="148">
      <formula>$C$21&lt;&gt;""</formula>
    </cfRule>
  </conditionalFormatting>
  <conditionalFormatting sqref="C22:E22">
    <cfRule type="expression" dxfId="74" priority="147">
      <formula>$C$22&lt;&gt;""</formula>
    </cfRule>
  </conditionalFormatting>
  <conditionalFormatting sqref="C7:F7">
    <cfRule type="expression" dxfId="72" priority="65">
      <formula>$C$7&lt;&gt;""</formula>
    </cfRule>
  </conditionalFormatting>
  <conditionalFormatting sqref="C10:F10">
    <cfRule type="expression" dxfId="71" priority="164">
      <formula>$C$10&lt;&gt;""</formula>
    </cfRule>
  </conditionalFormatting>
  <conditionalFormatting sqref="C11:F12">
    <cfRule type="expression" dxfId="70" priority="66">
      <formula>$C$11&lt;&gt;""</formula>
    </cfRule>
  </conditionalFormatting>
  <conditionalFormatting sqref="C13:F13">
    <cfRule type="expression" dxfId="69" priority="163">
      <formula>$C$13&lt;&gt;""</formula>
    </cfRule>
  </conditionalFormatting>
  <conditionalFormatting sqref="C14:F14">
    <cfRule type="expression" dxfId="68" priority="162">
      <formula>$C$14&lt;&gt;""</formula>
    </cfRule>
  </conditionalFormatting>
  <conditionalFormatting sqref="C28:F28">
    <cfRule type="expression" dxfId="67" priority="142">
      <formula>$C$28&lt;&gt;""</formula>
    </cfRule>
  </conditionalFormatting>
  <conditionalFormatting sqref="E30">
    <cfRule type="expression" dxfId="66" priority="94">
      <formula>$E$30&lt;&gt;""</formula>
    </cfRule>
  </conditionalFormatting>
  <conditionalFormatting sqref="E32:F32">
    <cfRule type="expression" dxfId="65" priority="2">
      <formula>$P$32="申請金額が上限を超えています！入力を修正してください。"</formula>
    </cfRule>
    <cfRule type="expression" dxfId="64" priority="7">
      <formula>$P$32="学費は申請必須です！月額を入力してください。"</formula>
    </cfRule>
    <cfRule type="expression" dxfId="63" priority="30">
      <formula>$E$32&lt;&gt;""</formula>
    </cfRule>
  </conditionalFormatting>
  <conditionalFormatting sqref="E34:F34">
    <cfRule type="expression" dxfId="62" priority="29">
      <formula>$E$34&lt;&gt;""</formula>
    </cfRule>
    <cfRule type="expression" dxfId="61" priority="17">
      <formula>$E$34&gt;$E$35</formula>
    </cfRule>
  </conditionalFormatting>
  <conditionalFormatting sqref="E36:F36">
    <cfRule type="expression" dxfId="60" priority="27">
      <formula>$E$36&lt;&gt;""</formula>
    </cfRule>
  </conditionalFormatting>
  <conditionalFormatting sqref="E39:F39">
    <cfRule type="expression" dxfId="57" priority="10">
      <formula>$P$39="申請金額が上限を超えています！修正してください。"</formula>
    </cfRule>
  </conditionalFormatting>
  <conditionalFormatting sqref="E40:F40">
    <cfRule type="expression" dxfId="53" priority="23">
      <formula>$E$40&lt;&gt;""</formula>
    </cfRule>
  </conditionalFormatting>
  <conditionalFormatting sqref="E16:K16">
    <cfRule type="expression" dxfId="52" priority="106">
      <formula>$C$17=""</formula>
    </cfRule>
    <cfRule type="expression" dxfId="51" priority="107">
      <formula>$C$17=0</formula>
    </cfRule>
  </conditionalFormatting>
  <conditionalFormatting sqref="G28:H28">
    <cfRule type="expression" dxfId="50" priority="127">
      <formula>OR($C$28="対象者でない",$C$28="申請中")</formula>
    </cfRule>
  </conditionalFormatting>
  <conditionalFormatting sqref="G30:I30">
    <cfRule type="expression" dxfId="49" priority="169">
      <formula>$G$30&lt;&gt;""</formula>
    </cfRule>
  </conditionalFormatting>
  <conditionalFormatting sqref="I33">
    <cfRule type="expression" dxfId="46" priority="128">
      <formula>$K$30&gt;49</formula>
    </cfRule>
  </conditionalFormatting>
  <conditionalFormatting sqref="I28:J28">
    <cfRule type="expression" dxfId="45" priority="43">
      <formula>OR($C$28="対象者でない",$C$28="申請中")</formula>
    </cfRule>
    <cfRule type="expression" dxfId="44" priority="44">
      <formula>$I$28&lt;&gt;""</formula>
    </cfRule>
  </conditionalFormatting>
  <conditionalFormatting sqref="I32:J32">
    <cfRule type="expression" dxfId="43" priority="4">
      <formula>$P$32="申請回数が上限を超えています！入力を修正してください。"</formula>
    </cfRule>
    <cfRule type="expression" dxfId="42" priority="31">
      <formula>$I$32&lt;&gt;""</formula>
    </cfRule>
    <cfRule type="expression" dxfId="41" priority="6">
      <formula>$P$32="学費は申請必須です！月数を入力してください。"</formula>
    </cfRule>
  </conditionalFormatting>
  <conditionalFormatting sqref="I34:J34">
    <cfRule type="expression" dxfId="40" priority="28">
      <formula>$I$34&lt;&gt;""</formula>
    </cfRule>
    <cfRule type="expression" dxfId="39" priority="16">
      <formula>$I$34&gt;$I$35</formula>
    </cfRule>
  </conditionalFormatting>
  <conditionalFormatting sqref="I36:J36">
    <cfRule type="expression" dxfId="38" priority="26">
      <formula>$I$36&lt;&gt;""</formula>
    </cfRule>
  </conditionalFormatting>
  <conditionalFormatting sqref="I39:J39">
    <cfRule type="expression" dxfId="36" priority="11">
      <formula>$P$39="申請回数が上限を超えています！修正してください。"</formula>
    </cfRule>
  </conditionalFormatting>
  <conditionalFormatting sqref="J30">
    <cfRule type="expression" dxfId="34" priority="168">
      <formula>$J$30&lt;&gt;""</formula>
    </cfRule>
  </conditionalFormatting>
  <conditionalFormatting sqref="K7:L7">
    <cfRule type="expression" dxfId="33" priority="62">
      <formula>$K$7&lt;&gt;""</formula>
    </cfRule>
  </conditionalFormatting>
  <conditionalFormatting sqref="K10:L10">
    <cfRule type="expression" dxfId="32" priority="55">
      <formula>$K$10&lt;&gt;""</formula>
    </cfRule>
  </conditionalFormatting>
  <conditionalFormatting sqref="K11:L11">
    <cfRule type="expression" dxfId="31" priority="160">
      <formula>$K$11&lt;&gt;""</formula>
    </cfRule>
  </conditionalFormatting>
  <conditionalFormatting sqref="K13:L13">
    <cfRule type="expression" dxfId="30" priority="156">
      <formula>$K$13&lt;&gt;""</formula>
    </cfRule>
  </conditionalFormatting>
  <conditionalFormatting sqref="K30:L31">
    <cfRule type="expression" dxfId="29" priority="116">
      <formula>$K$30&gt;49</formula>
    </cfRule>
  </conditionalFormatting>
  <conditionalFormatting sqref="K12:M12 K13:O13">
    <cfRule type="expression" dxfId="28" priority="22">
      <formula>$P$12="学年または修業年限に誤りがあります！修正してください。"</formula>
    </cfRule>
  </conditionalFormatting>
  <conditionalFormatting sqref="K12:M12">
    <cfRule type="expression" dxfId="27" priority="158">
      <formula>$K$12&lt;&gt;""</formula>
    </cfRule>
  </conditionalFormatting>
  <conditionalFormatting sqref="K17:M17">
    <cfRule type="expression" dxfId="26" priority="146">
      <formula>$K$17&lt;&gt;""</formula>
    </cfRule>
  </conditionalFormatting>
  <conditionalFormatting sqref="K18:M18">
    <cfRule type="expression" dxfId="25" priority="145">
      <formula>$K$18&lt;&gt;""</formula>
    </cfRule>
  </conditionalFormatting>
  <conditionalFormatting sqref="K19:M19">
    <cfRule type="expression" dxfId="24" priority="144">
      <formula>$K$19&lt;&gt;""</formula>
    </cfRule>
  </conditionalFormatting>
  <conditionalFormatting sqref="K20:M20">
    <cfRule type="expression" dxfId="23" priority="143">
      <formula>$K$20&lt;&gt;""</formula>
    </cfRule>
  </conditionalFormatting>
  <conditionalFormatting sqref="K7:O7">
    <cfRule type="expression" dxfId="22" priority="56">
      <formula>$P$10="申請先誤りです！手引きを確認してください。"</formula>
    </cfRule>
    <cfRule type="expression" dxfId="21" priority="58">
      <formula>$P$10="申請先はさいたま市社協です！"</formula>
    </cfRule>
  </conditionalFormatting>
  <conditionalFormatting sqref="K11:O11 K13:O13">
    <cfRule type="expression" dxfId="20" priority="21">
      <formula>$P$13="卒業年月を過ぎています！入学年月または修業年限に誤りがないか確認してください。"</formula>
    </cfRule>
  </conditionalFormatting>
  <conditionalFormatting sqref="K28:O28">
    <cfRule type="expression" dxfId="19" priority="125">
      <formula>OR($C$28="対象者でない",$C$28="申請中")</formula>
    </cfRule>
  </conditionalFormatting>
  <conditionalFormatting sqref="K10:R10">
    <cfRule type="expression" dxfId="18" priority="52">
      <formula>$P$10="申請先はさいたま市社協です！"</formula>
    </cfRule>
  </conditionalFormatting>
  <conditionalFormatting sqref="K10:T10">
    <cfRule type="expression" dxfId="17" priority="50">
      <formula>$P$10="申請先誤りです！手引きを確認してください。"</formula>
    </cfRule>
  </conditionalFormatting>
  <conditionalFormatting sqref="K11:U11 K12">
    <cfRule type="expression" dxfId="16" priority="18">
      <formula>$P$11="入学年月または学年に誤りがあります！修正してください。"</formula>
    </cfRule>
  </conditionalFormatting>
  <conditionalFormatting sqref="L29:N29">
    <cfRule type="expression" dxfId="15" priority="19">
      <formula>$C$28="対象者である"</formula>
    </cfRule>
  </conditionalFormatting>
  <conditionalFormatting sqref="M11">
    <cfRule type="expression" dxfId="14" priority="159">
      <formula>$M$11&lt;&gt;""</formula>
    </cfRule>
  </conditionalFormatting>
  <conditionalFormatting sqref="M13">
    <cfRule type="expression" dxfId="13" priority="155">
      <formula>$M$13&lt;&gt;""</formula>
    </cfRule>
  </conditionalFormatting>
  <conditionalFormatting sqref="M7:O7">
    <cfRule type="expression" dxfId="12" priority="59">
      <formula>$M$7&lt;&gt;""</formula>
    </cfRule>
  </conditionalFormatting>
  <conditionalFormatting sqref="M10:O10">
    <cfRule type="expression" dxfId="11" priority="54">
      <formula>$M$10&lt;&gt;""</formula>
    </cfRule>
  </conditionalFormatting>
  <conditionalFormatting sqref="N30:T30">
    <cfRule type="expression" dxfId="10" priority="101">
      <formula>OR($N$30="借入希望月数が上限を超えています！入力を修正してください。",$N$30="借入希望期間に誤りがあります！入力を修正してください。",$N$30="借入開始日に誤りがあります！入力を修正してください。",$N$30="借入終了日に誤りがあります！入力を修正してください。")</formula>
    </cfRule>
  </conditionalFormatting>
  <conditionalFormatting sqref="P32:T32">
    <cfRule type="expression" dxfId="9" priority="1">
      <formula>$P$32="学費は申請必須です！月数を入力してください。"</formula>
    </cfRule>
    <cfRule type="expression" dxfId="8" priority="8">
      <formula>$P$32="学費は申請必須です！月額を入力してください。"</formula>
    </cfRule>
  </conditionalFormatting>
  <conditionalFormatting sqref="P34:T34">
    <cfRule type="expression" dxfId="7" priority="15">
      <formula>$P$34="申請金額が上限を超えています！修正してください。"</formula>
    </cfRule>
    <cfRule type="expression" dxfId="6" priority="14">
      <formula>$P$34="申請回数が上限を超えています！修正してください。"</formula>
    </cfRule>
  </conditionalFormatting>
  <conditionalFormatting sqref="P39:T39">
    <cfRule type="expression" dxfId="5" priority="12">
      <formula>$P$39="申請回数が上限を超えています！修正してください。"</formula>
    </cfRule>
    <cfRule type="expression" dxfId="4" priority="13">
      <formula>$P$39="申請金額が上限を超えています！修正してください。"</formula>
    </cfRule>
  </conditionalFormatting>
  <conditionalFormatting sqref="P32:U32">
    <cfRule type="expression" dxfId="3" priority="5">
      <formula>$P$32="申請回数が上限を超えています！入力を修正してください。"</formula>
    </cfRule>
    <cfRule type="expression" dxfId="2" priority="3">
      <formula>$P$32="申請金額が上限を超えています！入力を修正してください。"</formula>
    </cfRule>
  </conditionalFormatting>
  <conditionalFormatting sqref="P12:V12">
    <cfRule type="expression" dxfId="1" priority="165">
      <formula>$P$12="学年または修業年限に誤りがあります！修正してください。"</formula>
    </cfRule>
  </conditionalFormatting>
  <conditionalFormatting sqref="P13:X13">
    <cfRule type="expression" dxfId="0" priority="100">
      <formula>$P$13="卒業年月を過ぎています！入学年月または修業年限に誤りがないか確認してください。"</formula>
    </cfRule>
  </conditionalFormatting>
  <dataValidations count="14">
    <dataValidation type="list" allowBlank="1" showInputMessage="1" showErrorMessage="1" error="プルダウンから選択してください。" sqref="C28:F28" xr:uid="{225898CE-9DB2-475C-B863-FA088BC7941A}">
      <formula1>"対象者である,対象者でない,申請中"</formula1>
    </dataValidation>
    <dataValidation type="list" allowBlank="1" showInputMessage="1" showErrorMessage="1" sqref="C13:F13" xr:uid="{E294C85A-8C52-4696-ACBA-F2976800E660}">
      <formula1>"大学,短期大学,高等専門学校,専門学校"</formula1>
    </dataValidation>
    <dataValidation type="list" allowBlank="1" showInputMessage="1" showErrorMessage="1" sqref="K12" xr:uid="{1FF2AA6B-AD30-468D-927F-96EF929CDF9E}">
      <formula1>"1,2,3,4"</formula1>
    </dataValidation>
    <dataValidation type="list" allowBlank="1" showInputMessage="1" showErrorMessage="1" sqref="K13:L13" xr:uid="{5A18D2E2-B414-4CA8-80A3-E8CF00AC68E9}">
      <formula1>"1年,2年,3年,4年"</formula1>
    </dataValidation>
    <dataValidation type="list" allowBlank="1" showInputMessage="1" showErrorMessage="1" sqref="M13" xr:uid="{8F7F2D5F-4BD3-4963-84F4-3AA0B7B6082E}">
      <formula1>"0箇月,1箇月,2箇月,3箇月,4箇月,5箇月,6箇月,7箇月,8箇月,9箇月,10箇月,11箇月"</formula1>
    </dataValidation>
    <dataValidation type="list" allowBlank="1" showInputMessage="1" showErrorMessage="1" sqref="M11" xr:uid="{761170AD-5BF1-4159-BED3-5B6E86F4631E}">
      <formula1>"4月,10月"</formula1>
    </dataValidation>
    <dataValidation type="list" allowBlank="1" showInputMessage="1" showErrorMessage="1" sqref="C14:F14" xr:uid="{FE39B03E-B536-4A55-828F-861724507B58}">
      <formula1>"国公立,私立"</formula1>
    </dataValidation>
    <dataValidation type="list" allowBlank="1" showInputMessage="1" showErrorMessage="1" sqref="E30" xr:uid="{886435F7-562D-407C-A80E-8C5A723D68B3}">
      <formula1>"4月,5月,6月,7月,8月,9月,10月,11月,12月,1月,2月,3月"</formula1>
    </dataValidation>
    <dataValidation type="custom" allowBlank="1" showInputMessage="1" showErrorMessage="1" error="マイナス値は入力できません！" sqref="C20:E22 K17:M20" xr:uid="{5028E767-2184-48E8-A1E4-6B70D5AA5D40}">
      <formula1>C17&gt;=0</formula1>
    </dataValidation>
    <dataValidation type="custom" allowBlank="1" showInputMessage="1" showErrorMessage="1" error="マイナス値は入力できません！" sqref="C17:E19" xr:uid="{34777474-5ABD-421B-807D-37ACE7C05A02}">
      <formula1>OR(C17&gt;0,C17=0)</formula1>
    </dataValidation>
    <dataValidation type="list" allowBlank="1" showInputMessage="1" showErrorMessage="1" sqref="J30" xr:uid="{EDF7D8D2-B1A9-4329-8134-585D5178A56A}">
      <formula1>"1月,2月,3月,4月,5月,6月,7月,8月,9月,10月,11月,12月"</formula1>
    </dataValidation>
    <dataValidation type="list" allowBlank="1" showInputMessage="1" showErrorMessage="1" sqref="M10:O10" xr:uid="{D8963C6B-35D2-4E4B-98C6-3873C68F2CAB}">
      <formula1>INDIRECT($K$10)</formula1>
    </dataValidation>
    <dataValidation type="list" allowBlank="1" showInputMessage="1" showErrorMessage="1" sqref="M7:O7" xr:uid="{E5D28BA3-C3CB-4AED-B988-10320814A48E}">
      <formula1>INDIRECT($K$7)</formula1>
    </dataValidation>
    <dataValidation type="list" allowBlank="1" showInputMessage="1" showErrorMessage="1" sqref="I28:J28" xr:uid="{02B9C653-0919-4A15-A158-AB226EFFDD23}">
      <formula1>"Ⅰ,Ⅱ,Ⅲ,Ⅳ"</formula1>
    </dataValidation>
  </dataValidations>
  <pageMargins left="0.51181102362204722" right="0.31496062992125984" top="0.39370078740157483" bottom="0.19685039370078741" header="0.19685039370078741" footer="0.11811023622047245"/>
  <pageSetup paperSize="9" scale="69" fitToHeight="0" orientation="portrait" r:id="rId1"/>
  <headerFooter>
    <oddHeader>&amp;L様式第１６号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2</xdr:col>
                    <xdr:colOff>106680</xdr:colOff>
                    <xdr:row>37</xdr:row>
                    <xdr:rowOff>30480</xdr:rowOff>
                  </from>
                  <to>
                    <xdr:col>2</xdr:col>
                    <xdr:colOff>373380</xdr:colOff>
                    <xdr:row>37</xdr:row>
                    <xdr:rowOff>297180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8504DD04-2F59-4DA2-AAC4-A6D47DE20C18}">
            <xm:f>データシート!$E$63=TRUE</xm:f>
            <x14:dxf>
              <border>
                <top/>
                <vertical/>
                <horizontal/>
              </border>
            </x14:dxf>
          </x14:cfRule>
          <xm:sqref>B39</xm:sqref>
        </x14:conditionalFormatting>
        <x14:conditionalFormatting xmlns:xm="http://schemas.microsoft.com/office/excel/2006/main">
          <x14:cfRule type="expression" priority="36" id="{12101E79-0BCC-470E-83BA-290AF98F1FDB}">
            <xm:f>データシート!$E$63=TRUE</xm:f>
            <x14:dxf>
              <fill>
                <patternFill>
                  <bgColor theme="0" tint="-4.9989318521683403E-2"/>
                </patternFill>
              </fill>
            </x14:dxf>
          </x14:cfRule>
          <xm:sqref>B39:B40</xm:sqref>
        </x14:conditionalFormatting>
        <x14:conditionalFormatting xmlns:xm="http://schemas.microsoft.com/office/excel/2006/main">
          <x14:cfRule type="expression" priority="37" id="{1FDEC31F-64F2-4F07-B310-EC7C6BCC6ECD}">
            <xm:f>データシート!$E$63=FALSE</xm:f>
            <x14:dxf>
              <border>
                <bottom/>
                <vertical/>
                <horizontal/>
              </border>
            </x14:dxf>
          </x14:cfRule>
          <xm:sqref>B39:D39 G39:H39 K39:O39</xm:sqref>
        </x14:conditionalFormatting>
        <x14:conditionalFormatting xmlns:xm="http://schemas.microsoft.com/office/excel/2006/main">
          <x14:cfRule type="expression" priority="38" id="{D6EA04A1-3262-4F9B-B7B5-E48C16CB47AC}">
            <xm:f>データシート!$E$63=TRUE</xm:f>
            <x14:dxf>
              <font>
                <color theme="1"/>
              </font>
            </x14:dxf>
          </x14:cfRule>
          <xm:sqref>B40:F40 B39:C39 G39:H40 K39:O40 I40</xm:sqref>
        </x14:conditionalFormatting>
        <x14:conditionalFormatting xmlns:xm="http://schemas.microsoft.com/office/excel/2006/main">
          <x14:cfRule type="expression" priority="48" id="{BC10913F-0F69-4FCE-B492-EC0AD369D68D}">
            <xm:f>データシート!$G$59="誤"</xm:f>
            <x14:dxf>
              <font>
                <strike/>
                <color rgb="FFFF0000"/>
              </font>
              <fill>
                <patternFill>
                  <bgColor rgb="FFFFFF00"/>
                </patternFill>
              </fill>
            </x14:dxf>
          </x14:cfRule>
          <x14:cfRule type="expression" priority="47" id="{508F6400-F047-4AA9-91A1-F01B25676517}">
            <xm:f>データシート!$K$59="誤"</xm:f>
            <x14:dxf>
              <font>
                <strike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C30 E30</xm:sqref>
        </x14:conditionalFormatting>
        <x14:conditionalFormatting xmlns:xm="http://schemas.microsoft.com/office/excel/2006/main">
          <x14:cfRule type="expression" priority="25" id="{10F6372A-D26D-4FF2-A44C-620AC928970D}">
            <xm:f>データシート!$K$64="誤"</xm:f>
            <x14:dxf>
              <font>
                <strike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C30:E30 G30:J30</xm:sqref>
        </x14:conditionalFormatting>
        <x14:conditionalFormatting xmlns:xm="http://schemas.microsoft.com/office/excel/2006/main">
          <x14:cfRule type="expression" priority="33" id="{75FE6ED7-8BEC-4B69-8099-073A18B4ED97}">
            <xm:f>データシート!$E$63=FALSE</xm:f>
            <x14:dxf>
              <font>
                <color theme="0" tint="-0.34998626667073579"/>
              </font>
              <border>
                <left/>
                <right/>
                <top style="thin">
                  <color auto="1"/>
                </top>
                <bottom/>
                <vertical/>
                <horizontal/>
              </border>
            </x14:dxf>
          </x14:cfRule>
          <xm:sqref>E39:F39 I39:J39</xm:sqref>
        </x14:conditionalFormatting>
        <x14:conditionalFormatting xmlns:xm="http://schemas.microsoft.com/office/excel/2006/main">
          <x14:cfRule type="expression" priority="34" id="{00000000-000E-0000-0200-00000A000000}">
            <xm:f>AND($E$39&lt;&gt;"",データシート!$E$63=TRUE)</xm:f>
            <x14:dxf>
              <fill>
                <patternFill patternType="none">
                  <bgColor auto="1"/>
                </patternFill>
              </fill>
            </x14:dxf>
          </x14:cfRule>
          <xm:sqref>E39:F39</xm:sqref>
        </x14:conditionalFormatting>
        <x14:conditionalFormatting xmlns:xm="http://schemas.microsoft.com/office/excel/2006/main">
          <x14:cfRule type="expression" priority="35" id="{DB9CC2D5-D860-41A6-B4C8-20567D1C7DC3}">
            <xm:f>データシート!$E$63=TRUE</xm:f>
            <x14:dxf>
              <fill>
                <patternFill patternType="none">
                  <bgColor auto="1"/>
                </patternFill>
              </fill>
            </x14:dxf>
          </x14:cfRule>
          <xm:sqref>E40:F40 C39:D40 G39:H40 K39:O40 I40:J40</xm:sqref>
        </x14:conditionalFormatting>
        <x14:conditionalFormatting xmlns:xm="http://schemas.microsoft.com/office/excel/2006/main">
          <x14:cfRule type="expression" priority="20" id="{08953AF2-FECA-418B-B3FA-858ACA0FCB48}">
            <xm:f>データシート!$E$63=FALSE</xm:f>
            <x14:dxf>
              <font>
                <color theme="0" tint="-0.34998626667073579"/>
              </font>
              <fill>
                <patternFill>
                  <bgColor theme="0" tint="-0.34998626667073579"/>
                </patternFill>
              </fill>
            </x14:dxf>
          </x14:cfRule>
          <x14:cfRule type="expression" priority="24" id="{C32050BC-9F45-4B27-91BA-99DC5A727416}">
            <xm:f>データシート!$E$63=TRUE</xm:f>
            <x14:dxf>
              <font>
                <color theme="1"/>
              </font>
              <fill>
                <patternFill>
                  <bgColor rgb="FF00B0F0"/>
                </patternFill>
              </fill>
            </x14:dxf>
          </x14:cfRule>
          <xm:sqref>E40:F40</xm:sqref>
        </x14:conditionalFormatting>
        <x14:conditionalFormatting xmlns:xm="http://schemas.microsoft.com/office/excel/2006/main">
          <x14:cfRule type="expression" priority="112" id="{97B0611C-3795-4FE2-BF45-24C2B7AB87A2}">
            <xm:f>データシート!$C$50&lt;データシート!$C$60</xm:f>
            <x14:dxf>
              <font>
                <strike/>
                <color rgb="FFFF0000"/>
              </font>
              <fill>
                <patternFill>
                  <bgColor rgb="FFFFFF00"/>
                </patternFill>
              </fill>
            </x14:dxf>
          </x14:cfRule>
          <x14:cfRule type="expression" priority="93" id="{6B30F5D4-9A51-4422-94F0-BDD87F595444}">
            <xm:f>データシート!$K$59="誤"</xm:f>
            <x14:dxf>
              <font>
                <strike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G30:J30</xm:sqref>
        </x14:conditionalFormatting>
        <x14:conditionalFormatting xmlns:xm="http://schemas.microsoft.com/office/excel/2006/main">
          <x14:cfRule type="expression" priority="40" id="{84D5EBF3-52FF-4159-94FA-ADD83FD9A6C9}">
            <xm:f>データシート!$E$63=TRUE</xm:f>
            <x14:dxf>
              <fill>
                <patternFill>
                  <bgColor rgb="FFFFFF00"/>
                </patternFill>
              </fill>
            </x14:dxf>
          </x14:cfRule>
          <xm:sqref>I39:J39 E39:F39</xm:sqref>
        </x14:conditionalFormatting>
        <x14:conditionalFormatting xmlns:xm="http://schemas.microsoft.com/office/excel/2006/main">
          <x14:cfRule type="expression" priority="39" id="{00000000-000E-0000-0200-00000F000000}">
            <xm:f>AND($I$39&lt;&gt;"",データシート!$E$63=TRUE)</xm:f>
            <x14:dxf>
              <fill>
                <patternFill patternType="none">
                  <bgColor auto="1"/>
                </patternFill>
              </fill>
            </x14:dxf>
          </x14:cfRule>
          <xm:sqref>I39:J39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ABF4DEF8-6438-4E70-B1FA-A8A3D22DE12D}">
          <x14:formula1>
            <xm:f>データシート!$K$81:$K$85</xm:f>
          </x14:formula1>
          <xm:sqref>K11:L11</xm:sqref>
        </x14:dataValidation>
        <x14:dataValidation type="list" allowBlank="1" showInputMessage="1" showErrorMessage="1" xr:uid="{8AD939BB-EBDB-4459-9176-C61F9F49E481}">
          <x14:formula1>
            <xm:f>データシート!$N$81:$N$85</xm:f>
          </x14:formula1>
          <xm:sqref>G30:I30 C30:D30</xm:sqref>
        </x14:dataValidation>
        <x14:dataValidation type="list" allowBlank="1" showInputMessage="1" showErrorMessage="1" xr:uid="{3CED3367-57BC-4BBC-81F2-EF22F9A5698D}">
          <x14:formula1>
            <xm:f>都道府県シート!$A$2:$AU$2</xm:f>
          </x14:formula1>
          <xm:sqref>K10:L10 K7:L7</xm:sqref>
        </x14:dataValidation>
        <x14:dataValidation type="custom" allowBlank="1" showInputMessage="1" showErrorMessage="1" error="申請月数に誤りがあります！入力を修正してください。" xr:uid="{20E9A414-2BDA-423B-8955-11C653433B05}">
          <x14:formula1>
            <xm:f>AND(I39&lt;I40+1,I39&gt;=0,データシート!F85="",データシート!E63=TRUE)</xm:f>
          </x14:formula1>
          <xm:sqref>I39:J39</xm:sqref>
        </x14:dataValidation>
        <x14:dataValidation type="custom" allowBlank="1" showInputMessage="1" showErrorMessage="1" error="申請回数に誤りがあります！入力を確認してください。" xr:uid="{033C0E5F-3CD4-42B0-88F8-780B20AD873E}">
          <x14:formula1>
            <xm:f>AND(I36&lt;I37+1,I36&gt;=0,データシート!F84="")</xm:f>
          </x14:formula1>
          <xm:sqref>I36:J36</xm:sqref>
        </x14:dataValidation>
        <x14:dataValidation type="custom" allowBlank="1" showInputMessage="1" showErrorMessage="1" errorTitle="以下のいずれかの誤りがあります！入力を修正してください。" error="①　上限額を超えている　⇒　減額修正してください。_x000a_②　千円未満を入力している ⇒ 千円未満を切捨ててください。" xr:uid="{B949D3EE-34F4-4C58-9440-F26C0A5D37C0}">
          <x14:formula1>
            <xm:f>AND(E33+1&gt;E32,E32=データシート!C82,E32&gt;=0)</xm:f>
          </x14:formula1>
          <xm:sqref>E32:F32</xm:sqref>
        </x14:dataValidation>
        <x14:dataValidation type="custom" allowBlank="1" showInputMessage="1" showErrorMessage="1" errorTitle="以下のいずれかの誤りがあります！入力を修正してください。" error="①　上限額を超えている　⇒　減額修正してください。_x000a_②　千円未満を入力している ⇒ 千円未満を切捨ててください。" xr:uid="{2068CB9E-0C54-42C3-A07A-3B9DE07F4D52}">
          <x14:formula1>
            <xm:f>AND(E35+1&gt;E34,E34=データシート!C83,E34&gt;=0)</xm:f>
          </x14:formula1>
          <xm:sqref>E34:F34</xm:sqref>
        </x14:dataValidation>
        <x14:dataValidation type="custom" allowBlank="1" showInputMessage="1" showErrorMessage="1" errorTitle="以下のいずれかの誤りがあります！入力を修正してください。" error="①　上限額を超えている　⇒　減額修正してください。_x000a_②　千円未満を入力している ⇒ 千円未満を切捨ててください。" xr:uid="{343E636C-D18D-415C-9E8A-1BAF70004B54}">
          <x14:formula1>
            <xm:f>AND(E37+1&gt;E36,E36=データシート!C84,E36&gt;=0)</xm:f>
          </x14:formula1>
          <xm:sqref>E36:F36</xm:sqref>
        </x14:dataValidation>
        <x14:dataValidation type="custom" allowBlank="1" showInputMessage="1" showErrorMessage="1" errorTitle="以下のいずれかの誤りがあります！入力を修正してください。" error="①　上限額を超えている　⇒　減額修正してください。_x000a_②　千円未満を入力している ⇒ 千円未満を切捨ててください。" xr:uid="{EC0AC18B-7CEE-42AC-A177-F7C6CDF8E907}">
          <x14:formula1>
            <xm:f>AND(データシート!E66=0,E39=データシート!C85,E39&gt;=0)</xm:f>
          </x14:formula1>
          <xm:sqref>E39:F39</xm:sqref>
        </x14:dataValidation>
        <x14:dataValidation type="custom" allowBlank="1" showInputMessage="1" showErrorMessage="1" error="申請月数に誤りがあります！入力を修正してください。" xr:uid="{01214F38-B7A5-4E1C-9C8A-3AB73D7B43A7}">
          <x14:formula1>
            <xm:f>AND(I32&lt;I33+1,I32&gt;=0,データシート!F82="")</xm:f>
          </x14:formula1>
          <xm:sqref>I32:J32</xm:sqref>
        </x14:dataValidation>
        <x14:dataValidation type="custom" allowBlank="1" showInputMessage="1" showErrorMessage="1" error="申請回数に誤りがあります！入力を確認してください。" xr:uid="{55AA14AA-8BA0-4EDA-B620-F96681870635}">
          <x14:formula1>
            <xm:f>AND(I34&lt;I35+1,I34&gt;=0,データシート!F83="")</xm:f>
          </x14:formula1>
          <xm:sqref>I34:J34</xm:sqref>
        </x14:dataValidation>
        <x14:dataValidation type="custom" allowBlank="1" showInputMessage="1" showErrorMessage="1" xr:uid="{862B1F78-E3B9-4428-AD98-945D5257473B}">
          <x14:formula1>
            <xm:f>データシート!E63=TRUE</xm:f>
          </x14:formula1>
          <xm:sqref>E40:F40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48</vt:i4>
      </vt:variant>
    </vt:vector>
  </HeadingPairs>
  <TitlesOfParts>
    <vt:vector size="51" baseType="lpstr">
      <vt:lpstr>都道府県シート</vt:lpstr>
      <vt:lpstr>データシート</vt:lpstr>
      <vt:lpstr>シミュレーションシート</vt:lpstr>
      <vt:lpstr>シミュレーションシート!Print_Area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永田　絢子</dc:creator>
  <cp:lastModifiedBy>奥野 真由</cp:lastModifiedBy>
  <cp:lastPrinted>2026-03-26T05:28:27Z</cp:lastPrinted>
  <dcterms:created xsi:type="dcterms:W3CDTF">2022-01-13T08:08:04Z</dcterms:created>
  <dcterms:modified xsi:type="dcterms:W3CDTF">2026-03-26T05:28:41Z</dcterms:modified>
</cp:coreProperties>
</file>