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itama03\民生資金課\新資金（福祉人材センター育成資金課）\１介護\１介護修学\R8\1募集\４月募集\★通知等\★各種様式\HP用（PDF等）\"/>
    </mc:Choice>
  </mc:AlternateContent>
  <xr:revisionPtr revIDLastSave="0" documentId="8_{DAB00473-19EE-48E9-B756-5C7E4021CD4A}" xr6:coauthVersionLast="47" xr6:coauthVersionMax="47" xr10:uidLastSave="{00000000-0000-0000-0000-000000000000}"/>
  <workbookProtection workbookAlgorithmName="SHA-512" workbookHashValue="UaVYno7Gjrto++jiW3soNrvF87fywLGqatc06lyrvcVNwTXAyk4HsOiUovAEnzLx0TAQC54u6vYa8UWZZjw1gw==" workbookSaltValue="UKPunWQPbIuGyJOQOi6r9A==" workbookSpinCount="100000" lockStructure="1"/>
  <bookViews>
    <workbookView xWindow="-108" yWindow="-108" windowWidth="23256" windowHeight="12456" firstSheet="1" activeTab="1" xr2:uid="{3FFBD7D9-158C-46BA-8F04-D94C446BEB05}"/>
  </bookViews>
  <sheets>
    <sheet name="データシート" sheetId="3" state="hidden" r:id="rId1"/>
    <sheet name="シミュレーションシート" sheetId="2" r:id="rId2"/>
  </sheets>
  <definedNames>
    <definedName name="_xlnm.Print_Area" localSheetId="1">シミュレーションシート!$A$1:$N$40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3" i="3" l="1"/>
  <c r="I42" i="3"/>
  <c r="I41" i="3"/>
  <c r="J41" i="3" s="1"/>
  <c r="I40" i="3"/>
  <c r="J40" i="3" s="1"/>
  <c r="D43" i="3"/>
  <c r="E43" i="3" s="1"/>
  <c r="D42" i="3"/>
  <c r="E42" i="3" s="1"/>
  <c r="D41" i="3"/>
  <c r="E41" i="3" s="1"/>
  <c r="D40" i="3"/>
  <c r="E40" i="3" s="1"/>
  <c r="K27" i="2"/>
  <c r="S43" i="3"/>
  <c r="S42" i="3"/>
  <c r="S41" i="3"/>
  <c r="S40" i="3"/>
  <c r="N43" i="3"/>
  <c r="N42" i="3"/>
  <c r="N41" i="3"/>
  <c r="N40" i="3"/>
  <c r="G43" i="3"/>
  <c r="G42" i="3"/>
  <c r="G41" i="3"/>
  <c r="G40" i="3"/>
  <c r="B43" i="3"/>
  <c r="B42" i="3"/>
  <c r="B41" i="3"/>
  <c r="B40" i="3"/>
  <c r="J43" i="3"/>
  <c r="J42" i="3"/>
  <c r="M82" i="3" l="1"/>
  <c r="N82" i="3" s="1"/>
  <c r="J86" i="3"/>
  <c r="J85" i="3" s="1"/>
  <c r="C30" i="2"/>
  <c r="B55" i="3"/>
  <c r="O59" i="3"/>
  <c r="N59" i="3"/>
  <c r="K54" i="3" l="1"/>
  <c r="Q59" i="3"/>
  <c r="J84" i="3"/>
  <c r="J83" i="3" s="1"/>
  <c r="K85" i="3"/>
  <c r="K86" i="3"/>
  <c r="M83" i="3"/>
  <c r="P59" i="3"/>
  <c r="J52" i="3" s="1"/>
  <c r="J49" i="3" s="1"/>
  <c r="S14" i="3"/>
  <c r="S15" i="3"/>
  <c r="S16" i="3"/>
  <c r="S13" i="3"/>
  <c r="N14" i="3"/>
  <c r="N15" i="3"/>
  <c r="N16" i="3"/>
  <c r="N13" i="3"/>
  <c r="G14" i="3"/>
  <c r="G15" i="3"/>
  <c r="G16" i="3"/>
  <c r="G13" i="3"/>
  <c r="B14" i="3"/>
  <c r="B15" i="3"/>
  <c r="B16" i="3"/>
  <c r="B13" i="3"/>
  <c r="K52" i="3" l="1"/>
  <c r="C13" i="3"/>
  <c r="H13" i="3"/>
  <c r="O13" i="3"/>
  <c r="T13" i="3"/>
  <c r="C16" i="3"/>
  <c r="H16" i="3"/>
  <c r="O16" i="3"/>
  <c r="T16" i="3"/>
  <c r="C15" i="3"/>
  <c r="H15" i="3"/>
  <c r="O15" i="3"/>
  <c r="T15" i="3"/>
  <c r="C14" i="3"/>
  <c r="H14" i="3"/>
  <c r="O14" i="3"/>
  <c r="T14" i="3"/>
  <c r="K84" i="3"/>
  <c r="N83" i="3"/>
  <c r="M84" i="3"/>
  <c r="J50" i="3"/>
  <c r="J51" i="3"/>
  <c r="R59" i="3"/>
  <c r="S59" i="3" s="1"/>
  <c r="F85" i="3"/>
  <c r="F84" i="3"/>
  <c r="F82" i="3"/>
  <c r="F83" i="3"/>
  <c r="T41" i="3" l="1"/>
  <c r="H41" i="3"/>
  <c r="K41" i="3"/>
  <c r="T42" i="3"/>
  <c r="H42" i="3"/>
  <c r="K42" i="3"/>
  <c r="T43" i="3"/>
  <c r="H43" i="3"/>
  <c r="K43" i="3"/>
  <c r="T40" i="3"/>
  <c r="H40" i="3"/>
  <c r="K40" i="3"/>
  <c r="O41" i="3"/>
  <c r="C41" i="3"/>
  <c r="F41" i="3"/>
  <c r="O42" i="3"/>
  <c r="C42" i="3"/>
  <c r="F42" i="3"/>
  <c r="O43" i="3"/>
  <c r="F43" i="3"/>
  <c r="C43" i="3"/>
  <c r="O40" i="3"/>
  <c r="C40" i="3"/>
  <c r="F40" i="3"/>
  <c r="J82" i="3"/>
  <c r="K82" i="3" s="1"/>
  <c r="K83" i="3"/>
  <c r="N84" i="3"/>
  <c r="M85" i="3"/>
  <c r="K49" i="3"/>
  <c r="K50" i="3"/>
  <c r="K51" i="3"/>
  <c r="C22" i="2"/>
  <c r="B67" i="3"/>
  <c r="L36" i="2"/>
  <c r="L31" i="2"/>
  <c r="L33" i="2"/>
  <c r="L35" i="2"/>
  <c r="L37" i="2"/>
  <c r="F70" i="3" l="1"/>
  <c r="F71" i="3" s="1"/>
  <c r="F72" i="3" s="1"/>
  <c r="F73" i="3" s="1"/>
  <c r="F74" i="3" s="1"/>
  <c r="F75" i="3" s="1"/>
  <c r="F76" i="3" s="1"/>
  <c r="F77" i="3" s="1"/>
  <c r="C70" i="3"/>
  <c r="C71" i="3" s="1"/>
  <c r="C72" i="3" s="1"/>
  <c r="C73" i="3" s="1"/>
  <c r="C74" i="3" s="1"/>
  <c r="C75" i="3" s="1"/>
  <c r="C76" i="3" s="1"/>
  <c r="C77" i="3" s="1"/>
  <c r="N85" i="3"/>
  <c r="M86" i="3"/>
  <c r="N86" i="3" s="1"/>
  <c r="I39" i="2"/>
  <c r="B59" i="3" l="1"/>
  <c r="C59" i="3" l="1"/>
  <c r="B60" i="3"/>
  <c r="J59" i="3" s="1"/>
  <c r="B89" i="3" l="1"/>
  <c r="C89" i="3" s="1"/>
  <c r="O61" i="3"/>
  <c r="Q61" i="3" s="1"/>
  <c r="N61" i="3"/>
  <c r="P61" i="3" s="1"/>
  <c r="N62" i="3"/>
  <c r="K59" i="3"/>
  <c r="C60" i="3"/>
  <c r="D85" i="3"/>
  <c r="D84" i="3"/>
  <c r="D83" i="3"/>
  <c r="D82" i="3"/>
  <c r="B85" i="3"/>
  <c r="C85" i="3" s="1"/>
  <c r="B84" i="3"/>
  <c r="C84" i="3" s="1"/>
  <c r="B83" i="3"/>
  <c r="C83" i="3" s="1"/>
  <c r="B82" i="3"/>
  <c r="C82" i="3" s="1"/>
  <c r="B51" i="3"/>
  <c r="C51" i="3" s="1"/>
  <c r="F52" i="3" s="1"/>
  <c r="B49" i="3"/>
  <c r="S22" i="3"/>
  <c r="T22" i="3" s="1"/>
  <c r="B25" i="3"/>
  <c r="C25" i="3" s="1"/>
  <c r="B23" i="3"/>
  <c r="C23" i="3" s="1"/>
  <c r="B24" i="3"/>
  <c r="C24" i="3" s="1"/>
  <c r="B22" i="3"/>
  <c r="C22" i="3" s="1"/>
  <c r="D89" i="3" l="1"/>
  <c r="B93" i="3" s="1"/>
  <c r="E89" i="3"/>
  <c r="J29" i="2"/>
  <c r="B90" i="3"/>
  <c r="B91" i="3" s="1"/>
  <c r="O63" i="3"/>
  <c r="Q63" i="3" s="1"/>
  <c r="N63" i="3"/>
  <c r="P63" i="3" s="1"/>
  <c r="R61" i="3"/>
  <c r="S61" i="3" s="1"/>
  <c r="G52" i="3"/>
  <c r="F51" i="3" s="1"/>
  <c r="E85" i="3"/>
  <c r="E84" i="3"/>
  <c r="E83" i="3"/>
  <c r="E82" i="3"/>
  <c r="C49" i="3"/>
  <c r="L52" i="3" s="1"/>
  <c r="I34" i="3"/>
  <c r="J34" i="3" s="1"/>
  <c r="I33" i="3"/>
  <c r="J33" i="3" s="1"/>
  <c r="I32" i="3"/>
  <c r="J32" i="3" s="1"/>
  <c r="I31" i="3"/>
  <c r="J31" i="3" s="1"/>
  <c r="I25" i="3"/>
  <c r="J25" i="3" s="1"/>
  <c r="I24" i="3"/>
  <c r="J24" i="3" s="1"/>
  <c r="I23" i="3"/>
  <c r="J23" i="3" s="1"/>
  <c r="I22" i="3"/>
  <c r="J22" i="3" s="1"/>
  <c r="I16" i="3"/>
  <c r="J16" i="3" s="1"/>
  <c r="I15" i="3"/>
  <c r="J15" i="3" s="1"/>
  <c r="I14" i="3"/>
  <c r="J14" i="3" s="1"/>
  <c r="I13" i="3"/>
  <c r="J13" i="3" s="1"/>
  <c r="D13" i="3"/>
  <c r="E13" i="3" s="1"/>
  <c r="D33" i="3"/>
  <c r="E33" i="3" s="1"/>
  <c r="D32" i="3"/>
  <c r="E32" i="3" s="1"/>
  <c r="D34" i="3"/>
  <c r="E34" i="3" s="1"/>
  <c r="D31" i="3"/>
  <c r="E31" i="3" s="1"/>
  <c r="D22" i="3"/>
  <c r="E22" i="3" s="1"/>
  <c r="D25" i="3"/>
  <c r="E25" i="3" s="1"/>
  <c r="D24" i="3"/>
  <c r="E24" i="3" s="1"/>
  <c r="D23" i="3"/>
  <c r="E23" i="3" s="1"/>
  <c r="D16" i="3"/>
  <c r="E16" i="3" s="1"/>
  <c r="D15" i="3"/>
  <c r="E15" i="3" s="1"/>
  <c r="D14" i="3"/>
  <c r="E14" i="3" s="1"/>
  <c r="N23" i="3"/>
  <c r="O23" i="3" s="1"/>
  <c r="N24" i="3"/>
  <c r="O24" i="3" s="1"/>
  <c r="N25" i="3"/>
  <c r="O25" i="3" s="1"/>
  <c r="N22" i="3"/>
  <c r="O22" i="3" s="1"/>
  <c r="G31" i="3"/>
  <c r="H31" i="3" s="1"/>
  <c r="S34" i="3"/>
  <c r="T34" i="3" s="1"/>
  <c r="S33" i="3"/>
  <c r="T33" i="3" s="1"/>
  <c r="S32" i="3"/>
  <c r="T32" i="3" s="1"/>
  <c r="S31" i="3"/>
  <c r="T31" i="3" s="1"/>
  <c r="N34" i="3"/>
  <c r="O34" i="3" s="1"/>
  <c r="N33" i="3"/>
  <c r="O33" i="3" s="1"/>
  <c r="N32" i="3"/>
  <c r="O32" i="3" s="1"/>
  <c r="N31" i="3"/>
  <c r="O31" i="3" s="1"/>
  <c r="G34" i="3"/>
  <c r="H34" i="3" s="1"/>
  <c r="G33" i="3"/>
  <c r="H33" i="3" s="1"/>
  <c r="G32" i="3"/>
  <c r="H32" i="3" s="1"/>
  <c r="B32" i="3"/>
  <c r="C32" i="3" s="1"/>
  <c r="B33" i="3"/>
  <c r="C33" i="3" s="1"/>
  <c r="B34" i="3"/>
  <c r="C34" i="3" s="1"/>
  <c r="B31" i="3"/>
  <c r="C31" i="3" s="1"/>
  <c r="S25" i="3"/>
  <c r="T25" i="3" s="1"/>
  <c r="S24" i="3"/>
  <c r="T24" i="3" s="1"/>
  <c r="S23" i="3"/>
  <c r="T23" i="3" s="1"/>
  <c r="G22" i="3"/>
  <c r="H22" i="3" s="1"/>
  <c r="G23" i="3"/>
  <c r="H23" i="3" s="1"/>
  <c r="G24" i="3"/>
  <c r="H24" i="3" s="1"/>
  <c r="G25" i="3"/>
  <c r="H25" i="3" s="1"/>
  <c r="C23" i="2"/>
  <c r="J20" i="2"/>
  <c r="F89" i="3" l="1"/>
  <c r="B105" i="3" s="1"/>
  <c r="C105" i="3" s="1"/>
  <c r="C90" i="3"/>
  <c r="D90" i="3" s="1"/>
  <c r="E90" i="3"/>
  <c r="F90" i="3" s="1"/>
  <c r="R63" i="3"/>
  <c r="S63" i="3" s="1"/>
  <c r="H34" i="2"/>
  <c r="M52" i="3"/>
  <c r="L51" i="3" s="1"/>
  <c r="M51" i="3" s="1"/>
  <c r="L50" i="3" s="1"/>
  <c r="M50" i="3" s="1"/>
  <c r="L49" i="3" s="1"/>
  <c r="M49" i="3" s="1"/>
  <c r="M53" i="3" s="1"/>
  <c r="C50" i="3"/>
  <c r="G51" i="3"/>
  <c r="J22" i="2"/>
  <c r="F23" i="3"/>
  <c r="K34" i="3"/>
  <c r="F14" i="3"/>
  <c r="F24" i="3"/>
  <c r="F34" i="3"/>
  <c r="K13" i="3"/>
  <c r="K22" i="3"/>
  <c r="K31" i="3"/>
  <c r="F13" i="3"/>
  <c r="K25" i="3"/>
  <c r="F15" i="3"/>
  <c r="F25" i="3"/>
  <c r="F32" i="3"/>
  <c r="K14" i="3"/>
  <c r="K23" i="3"/>
  <c r="K32" i="3"/>
  <c r="F31" i="3"/>
  <c r="K16" i="3"/>
  <c r="F16" i="3"/>
  <c r="F22" i="3"/>
  <c r="F33" i="3"/>
  <c r="K15" i="3"/>
  <c r="K24" i="3"/>
  <c r="K33" i="3"/>
  <c r="P41" i="3" l="1"/>
  <c r="P40" i="3"/>
  <c r="U43" i="3"/>
  <c r="U41" i="3"/>
  <c r="U40" i="3"/>
  <c r="P43" i="3"/>
  <c r="P42" i="3"/>
  <c r="U42" i="3"/>
  <c r="B95" i="3"/>
  <c r="D95" i="3" s="1"/>
  <c r="B97" i="3"/>
  <c r="C97" i="3" s="1"/>
  <c r="B101" i="3"/>
  <c r="C101" i="3" s="1"/>
  <c r="B104" i="3"/>
  <c r="C104" i="3" s="1"/>
  <c r="B102" i="3"/>
  <c r="C102" i="3" s="1"/>
  <c r="B106" i="3"/>
  <c r="B98" i="3"/>
  <c r="C98" i="3" s="1"/>
  <c r="B96" i="3"/>
  <c r="F96" i="3" s="1"/>
  <c r="B94" i="3"/>
  <c r="F94" i="3" s="1"/>
  <c r="B100" i="3"/>
  <c r="C100" i="3" s="1"/>
  <c r="B99" i="3"/>
  <c r="C99" i="3" s="1"/>
  <c r="B103" i="3"/>
  <c r="C103" i="3" s="1"/>
  <c r="C95" i="3"/>
  <c r="O10" i="2"/>
  <c r="F105" i="3"/>
  <c r="D104" i="3"/>
  <c r="E105" i="3"/>
  <c r="D105" i="3"/>
  <c r="O60" i="3"/>
  <c r="Q60" i="3" s="1"/>
  <c r="N60" i="3"/>
  <c r="P60" i="3" s="1"/>
  <c r="F59" i="3"/>
  <c r="G59" i="3" s="1"/>
  <c r="J13" i="2"/>
  <c r="F50" i="3"/>
  <c r="G50" i="3" s="1"/>
  <c r="F49" i="3" s="1"/>
  <c r="G49" i="3" s="1"/>
  <c r="G53" i="3" s="1"/>
  <c r="F60" i="3"/>
  <c r="G60" i="3" s="1"/>
  <c r="P16" i="3"/>
  <c r="Q16" i="3" s="1"/>
  <c r="U25" i="3"/>
  <c r="V25" i="3" s="1"/>
  <c r="P22" i="3"/>
  <c r="Q22" i="3" s="1"/>
  <c r="U32" i="3"/>
  <c r="V32" i="3" s="1"/>
  <c r="U23" i="3"/>
  <c r="V23" i="3" s="1"/>
  <c r="P24" i="3"/>
  <c r="Q24" i="3" s="1"/>
  <c r="U34" i="3"/>
  <c r="V34" i="3" s="1"/>
  <c r="U13" i="3"/>
  <c r="V13" i="3" s="1"/>
  <c r="P13" i="3"/>
  <c r="Q13" i="3" s="1"/>
  <c r="P32" i="3"/>
  <c r="Q32" i="3" s="1"/>
  <c r="U15" i="3"/>
  <c r="V15" i="3" s="1"/>
  <c r="P15" i="3"/>
  <c r="Q15" i="3" s="1"/>
  <c r="P34" i="3"/>
  <c r="Q34" i="3" s="1"/>
  <c r="U14" i="3"/>
  <c r="V14" i="3" s="1"/>
  <c r="P14" i="3"/>
  <c r="Q14" i="3" s="1"/>
  <c r="U31" i="3"/>
  <c r="V31" i="3" s="1"/>
  <c r="U24" i="3"/>
  <c r="V24" i="3" s="1"/>
  <c r="P23" i="3"/>
  <c r="Q23" i="3" s="1"/>
  <c r="U33" i="3"/>
  <c r="V33" i="3" s="1"/>
  <c r="U22" i="3"/>
  <c r="P25" i="3"/>
  <c r="Q25" i="3" s="1"/>
  <c r="P31" i="3"/>
  <c r="Q31" i="3" s="1"/>
  <c r="P33" i="3"/>
  <c r="Q33" i="3" s="1"/>
  <c r="U16" i="3"/>
  <c r="V16" i="3" s="1"/>
  <c r="D101" i="3" l="1"/>
  <c r="E95" i="3"/>
  <c r="F98" i="3"/>
  <c r="D98" i="3"/>
  <c r="F97" i="3"/>
  <c r="D97" i="3"/>
  <c r="D100" i="3"/>
  <c r="Q42" i="3"/>
  <c r="R42" i="3" s="1"/>
  <c r="V40" i="3"/>
  <c r="W40" i="3" s="1"/>
  <c r="V42" i="3"/>
  <c r="W42" i="3" s="1"/>
  <c r="Q40" i="3"/>
  <c r="R40" i="3" s="1"/>
  <c r="Q41" i="3"/>
  <c r="R41" i="3"/>
  <c r="Q43" i="3"/>
  <c r="R43" i="3" s="1"/>
  <c r="V41" i="3"/>
  <c r="W41" i="3"/>
  <c r="V43" i="3"/>
  <c r="W43" i="3" s="1"/>
  <c r="E99" i="3"/>
  <c r="F100" i="3"/>
  <c r="E100" i="3"/>
  <c r="E97" i="3"/>
  <c r="E101" i="3"/>
  <c r="D103" i="3"/>
  <c r="E96" i="3"/>
  <c r="E103" i="3"/>
  <c r="E104" i="3"/>
  <c r="F104" i="3"/>
  <c r="F103" i="3"/>
  <c r="D94" i="3"/>
  <c r="C94" i="3"/>
  <c r="F99" i="3"/>
  <c r="F95" i="3"/>
  <c r="E102" i="3"/>
  <c r="E98" i="3"/>
  <c r="D96" i="3"/>
  <c r="C96" i="3"/>
  <c r="D102" i="3"/>
  <c r="D99" i="3"/>
  <c r="F102" i="3"/>
  <c r="E94" i="3"/>
  <c r="F101" i="3"/>
  <c r="O12" i="2"/>
  <c r="F30" i="2"/>
  <c r="R60" i="3"/>
  <c r="S60" i="3" s="1"/>
  <c r="M29" i="2"/>
  <c r="V22" i="3"/>
  <c r="W22" i="3" s="1"/>
  <c r="O11" i="2"/>
  <c r="B50" i="3"/>
  <c r="W13" i="3"/>
  <c r="W32" i="3"/>
  <c r="R33" i="3"/>
  <c r="W33" i="3"/>
  <c r="R14" i="3"/>
  <c r="W15" i="3"/>
  <c r="W34" i="3"/>
  <c r="R22" i="3"/>
  <c r="R31" i="3"/>
  <c r="R23" i="3"/>
  <c r="W14" i="3"/>
  <c r="R32" i="3"/>
  <c r="R24" i="3"/>
  <c r="W25" i="3"/>
  <c r="W16" i="3"/>
  <c r="W31" i="3"/>
  <c r="R15" i="3"/>
  <c r="R25" i="3"/>
  <c r="W24" i="3"/>
  <c r="R34" i="3"/>
  <c r="R13" i="3"/>
  <c r="W23" i="3"/>
  <c r="R16" i="3"/>
  <c r="C78" i="3"/>
  <c r="F106" i="3" l="1"/>
  <c r="E106" i="3"/>
  <c r="C106" i="3"/>
  <c r="D106" i="3"/>
  <c r="K28" i="2"/>
  <c r="D34" i="2" s="1"/>
  <c r="O33" i="2" s="1"/>
  <c r="J30" i="2"/>
  <c r="F78" i="3"/>
  <c r="G106" i="3" l="1"/>
  <c r="H38" i="2" s="1"/>
  <c r="O37" i="2" s="1"/>
  <c r="F28" i="2"/>
  <c r="B64" i="3" s="1"/>
  <c r="H32" i="2"/>
  <c r="L34" i="2"/>
  <c r="L38" i="2" l="1"/>
  <c r="C64" i="3"/>
  <c r="D32" i="2" l="1"/>
  <c r="L32" i="2" l="1"/>
  <c r="I40" i="2" s="1"/>
  <c r="O31" i="2"/>
</calcChain>
</file>

<file path=xl/sharedStrings.xml><?xml version="1.0" encoding="utf-8"?>
<sst xmlns="http://schemas.openxmlformats.org/spreadsheetml/2006/main" count="424" uniqueCount="182">
  <si>
    <t>学校納付額</t>
    <rPh sb="0" eb="5">
      <t>ガッコウノウフガク</t>
    </rPh>
    <phoneticPr fontId="1"/>
  </si>
  <si>
    <t>入学金</t>
    <rPh sb="0" eb="3">
      <t>ニュウガクキン</t>
    </rPh>
    <phoneticPr fontId="1"/>
  </si>
  <si>
    <t>授業料</t>
    <rPh sb="0" eb="3">
      <t>ジュギョウリョウ</t>
    </rPh>
    <phoneticPr fontId="1"/>
  </si>
  <si>
    <t>実習費</t>
    <rPh sb="0" eb="2">
      <t>ジッシュウ</t>
    </rPh>
    <rPh sb="2" eb="3">
      <t>ヒ</t>
    </rPh>
    <phoneticPr fontId="1"/>
  </si>
  <si>
    <t>教材費</t>
    <rPh sb="0" eb="3">
      <t>キョウザイヒ</t>
    </rPh>
    <phoneticPr fontId="1"/>
  </si>
  <si>
    <t>その他納付額</t>
    <rPh sb="2" eb="3">
      <t>タ</t>
    </rPh>
    <rPh sb="3" eb="6">
      <t>ノウフガク</t>
    </rPh>
    <phoneticPr fontId="1"/>
  </si>
  <si>
    <t>円</t>
    <rPh sb="0" eb="1">
      <t>エン</t>
    </rPh>
    <phoneticPr fontId="1"/>
  </si>
  <si>
    <t>その他</t>
    <rPh sb="2" eb="3">
      <t>タ</t>
    </rPh>
    <phoneticPr fontId="1"/>
  </si>
  <si>
    <t>A</t>
    <phoneticPr fontId="1"/>
  </si>
  <si>
    <t>合計（２年生以降）</t>
    <rPh sb="0" eb="2">
      <t>ゴウケイ</t>
    </rPh>
    <rPh sb="4" eb="6">
      <t>ネンセイ</t>
    </rPh>
    <rPh sb="6" eb="8">
      <t>イコウ</t>
    </rPh>
    <phoneticPr fontId="1"/>
  </si>
  <si>
    <t>合計（入学時）</t>
    <rPh sb="0" eb="2">
      <t>ゴウケイ</t>
    </rPh>
    <rPh sb="3" eb="6">
      <t>ニュウガクジ</t>
    </rPh>
    <phoneticPr fontId="1"/>
  </si>
  <si>
    <t>その他必要経費</t>
    <rPh sb="2" eb="3">
      <t>タ</t>
    </rPh>
    <rPh sb="3" eb="7">
      <t>ヒツヨウケイヒ</t>
    </rPh>
    <phoneticPr fontId="1"/>
  </si>
  <si>
    <t>交通費</t>
    <rPh sb="0" eb="3">
      <t>コウツウヒ</t>
    </rPh>
    <phoneticPr fontId="1"/>
  </si>
  <si>
    <t>学用品</t>
    <rPh sb="0" eb="3">
      <t>ガクヨウヒン</t>
    </rPh>
    <phoneticPr fontId="1"/>
  </si>
  <si>
    <t>参考図書</t>
    <rPh sb="0" eb="4">
      <t>サンコウトショ</t>
    </rPh>
    <phoneticPr fontId="1"/>
  </si>
  <si>
    <t>高等教育の修学支援
新制度の対象</t>
    <rPh sb="0" eb="4">
      <t>コウトウキョウイク</t>
    </rPh>
    <rPh sb="5" eb="9">
      <t>シュウガクシエン</t>
    </rPh>
    <rPh sb="10" eb="13">
      <t>シンセイド</t>
    </rPh>
    <rPh sb="14" eb="16">
      <t>タイショウ</t>
    </rPh>
    <phoneticPr fontId="1"/>
  </si>
  <si>
    <t>区分</t>
    <rPh sb="0" eb="2">
      <t>クブン</t>
    </rPh>
    <phoneticPr fontId="1"/>
  </si>
  <si>
    <t>新制度利用状況</t>
    <rPh sb="0" eb="3">
      <t>シンセイド</t>
    </rPh>
    <rPh sb="3" eb="7">
      <t>リヨウジョウキョウ</t>
    </rPh>
    <phoneticPr fontId="1"/>
  </si>
  <si>
    <t>第</t>
    <rPh sb="0" eb="1">
      <t>ダイ</t>
    </rPh>
    <phoneticPr fontId="1"/>
  </si>
  <si>
    <t>授業料等減免金額
（年額）</t>
    <rPh sb="0" eb="4">
      <t>ジュギョウリョウトウ</t>
    </rPh>
    <rPh sb="4" eb="6">
      <t>ゲンメン</t>
    </rPh>
    <rPh sb="6" eb="8">
      <t>キンガク</t>
    </rPh>
    <rPh sb="10" eb="12">
      <t>ネンガク</t>
    </rPh>
    <phoneticPr fontId="1"/>
  </si>
  <si>
    <t>授業料：</t>
    <rPh sb="0" eb="3">
      <t>ジュギョウリョウ</t>
    </rPh>
    <phoneticPr fontId="1"/>
  </si>
  <si>
    <t>入学金：</t>
    <rPh sb="0" eb="3">
      <t>ニュウガクキン</t>
    </rPh>
    <phoneticPr fontId="1"/>
  </si>
  <si>
    <t>から</t>
    <phoneticPr fontId="1"/>
  </si>
  <si>
    <t>箇月</t>
    <rPh sb="0" eb="2">
      <t>カゲツ</t>
    </rPh>
    <phoneticPr fontId="1"/>
  </si>
  <si>
    <t>金　額</t>
    <rPh sb="0" eb="1">
      <t>キン</t>
    </rPh>
    <rPh sb="2" eb="3">
      <t>ガク</t>
    </rPh>
    <phoneticPr fontId="1"/>
  </si>
  <si>
    <t>①学費
　（月額50,000円以内）</t>
    <rPh sb="1" eb="3">
      <t>ガクヒ</t>
    </rPh>
    <rPh sb="6" eb="8">
      <t>ゲツガク</t>
    </rPh>
    <rPh sb="14" eb="15">
      <t>エン</t>
    </rPh>
    <rPh sb="15" eb="17">
      <t>イナイ</t>
    </rPh>
    <phoneticPr fontId="1"/>
  </si>
  <si>
    <t>②入学準備金
　（200,000円以内）</t>
    <rPh sb="1" eb="6">
      <t>ニュウガクジュンビキン</t>
    </rPh>
    <rPh sb="16" eb="17">
      <t>エン</t>
    </rPh>
    <rPh sb="17" eb="19">
      <t>イナイ</t>
    </rPh>
    <phoneticPr fontId="1"/>
  </si>
  <si>
    <t>③就職準備金
　（200,000円以内）</t>
    <rPh sb="1" eb="6">
      <t>シュウショクジュンビキン</t>
    </rPh>
    <rPh sb="16" eb="17">
      <t>エン</t>
    </rPh>
    <rPh sb="17" eb="19">
      <t>イナイ</t>
    </rPh>
    <phoneticPr fontId="1"/>
  </si>
  <si>
    <t>④国家試験対策費用
　（40,000円/年 以内）</t>
    <rPh sb="1" eb="5">
      <t>コッカシケン</t>
    </rPh>
    <rPh sb="5" eb="9">
      <t>タイサクヒヨウ</t>
    </rPh>
    <rPh sb="18" eb="19">
      <t>エン</t>
    </rPh>
    <rPh sb="20" eb="21">
      <t>ネン</t>
    </rPh>
    <rPh sb="22" eb="24">
      <t>イナイ</t>
    </rPh>
    <phoneticPr fontId="1"/>
  </si>
  <si>
    <t>月額</t>
    <rPh sb="0" eb="2">
      <t>ゲツガク</t>
    </rPh>
    <phoneticPr fontId="1"/>
  </si>
  <si>
    <t>年額</t>
    <rPh sb="0" eb="2">
      <t>ネンガク</t>
    </rPh>
    <phoneticPr fontId="1"/>
  </si>
  <si>
    <t>入学時</t>
    <rPh sb="0" eb="3">
      <t>ニュウガクジ</t>
    </rPh>
    <phoneticPr fontId="1"/>
  </si>
  <si>
    <t>卒業時</t>
    <rPh sb="0" eb="3">
      <t>ソツギョウジ</t>
    </rPh>
    <phoneticPr fontId="1"/>
  </si>
  <si>
    <t>×</t>
    <phoneticPr fontId="1"/>
  </si>
  <si>
    <t>箇月分</t>
    <rPh sb="0" eb="3">
      <t>カゲツブン</t>
    </rPh>
    <phoneticPr fontId="1"/>
  </si>
  <si>
    <t>=</t>
    <phoneticPr fontId="1"/>
  </si>
  <si>
    <t>年分</t>
    <rPh sb="0" eb="1">
      <t>トシ</t>
    </rPh>
    <rPh sb="1" eb="2">
      <t>ブン</t>
    </rPh>
    <phoneticPr fontId="1"/>
  </si>
  <si>
    <t>回</t>
    <rPh sb="0" eb="1">
      <t>カイ</t>
    </rPh>
    <phoneticPr fontId="1"/>
  </si>
  <si>
    <t>学校納付額（入学時）計</t>
    <rPh sb="0" eb="5">
      <t>ガッコウノウフガク</t>
    </rPh>
    <rPh sb="6" eb="9">
      <t>ニュウガクジ</t>
    </rPh>
    <rPh sb="10" eb="11">
      <t>ケイ</t>
    </rPh>
    <phoneticPr fontId="1"/>
  </si>
  <si>
    <t>学校納付額（2年生以降）計</t>
    <rPh sb="0" eb="5">
      <t>ガッコウノウフガク</t>
    </rPh>
    <rPh sb="7" eb="9">
      <t>ネンセイ</t>
    </rPh>
    <rPh sb="9" eb="11">
      <t>イコウ</t>
    </rPh>
    <rPh sb="12" eb="13">
      <t>ケイ</t>
    </rPh>
    <phoneticPr fontId="1"/>
  </si>
  <si>
    <t>大学</t>
    <rPh sb="0" eb="2">
      <t>ダイガク</t>
    </rPh>
    <phoneticPr fontId="1"/>
  </si>
  <si>
    <t>短期大学</t>
    <rPh sb="0" eb="4">
      <t>タンキダイガク</t>
    </rPh>
    <phoneticPr fontId="1"/>
  </si>
  <si>
    <t>高等専門学校</t>
    <rPh sb="0" eb="6">
      <t>コウトウセンモンガッコウ</t>
    </rPh>
    <phoneticPr fontId="1"/>
  </si>
  <si>
    <t>専門学校</t>
    <rPh sb="0" eb="4">
      <t>センモンガッコウ</t>
    </rPh>
    <phoneticPr fontId="1"/>
  </si>
  <si>
    <t>国公立</t>
    <rPh sb="0" eb="3">
      <t>コッコウリツ</t>
    </rPh>
    <phoneticPr fontId="1"/>
  </si>
  <si>
    <t>私立</t>
    <rPh sb="0" eb="2">
      <t>ワタクシリツ</t>
    </rPh>
    <phoneticPr fontId="1"/>
  </si>
  <si>
    <t>Ⅰ</t>
    <phoneticPr fontId="1"/>
  </si>
  <si>
    <t>Ⅱ</t>
    <phoneticPr fontId="1"/>
  </si>
  <si>
    <t>Ⅲ</t>
    <phoneticPr fontId="1"/>
  </si>
  <si>
    <t>【入学金】</t>
    <rPh sb="1" eb="4">
      <t>ニュウガクキン</t>
    </rPh>
    <phoneticPr fontId="1"/>
  </si>
  <si>
    <t>【授業料】</t>
    <rPh sb="1" eb="4">
      <t>ジュギョウリョウ</t>
    </rPh>
    <phoneticPr fontId="1"/>
  </si>
  <si>
    <t>授業料等減免額の上限額</t>
    <rPh sb="0" eb="4">
      <t>ジュギョウリョウトウ</t>
    </rPh>
    <rPh sb="4" eb="7">
      <t>ゲンメンガク</t>
    </rPh>
    <rPh sb="8" eb="11">
      <t>ジョウゲンガク</t>
    </rPh>
    <phoneticPr fontId="1"/>
  </si>
  <si>
    <t>切捨て</t>
    <rPh sb="0" eb="2">
      <t>キリス</t>
    </rPh>
    <phoneticPr fontId="1"/>
  </si>
  <si>
    <t>養成施設名</t>
    <rPh sb="0" eb="5">
      <t>ヨウセイシセツメイ</t>
    </rPh>
    <phoneticPr fontId="1"/>
  </si>
  <si>
    <t>養成施設種別</t>
    <rPh sb="0" eb="4">
      <t>ヨウセイシセツ</t>
    </rPh>
    <rPh sb="4" eb="6">
      <t>シュベツ</t>
    </rPh>
    <phoneticPr fontId="1"/>
  </si>
  <si>
    <t>入学年月</t>
    <rPh sb="0" eb="4">
      <t>ニュウガクネンゲツ</t>
    </rPh>
    <phoneticPr fontId="1"/>
  </si>
  <si>
    <t>申請時学年</t>
    <rPh sb="0" eb="3">
      <t>シンセイジ</t>
    </rPh>
    <rPh sb="3" eb="5">
      <t>ガクネン</t>
    </rPh>
    <phoneticPr fontId="1"/>
  </si>
  <si>
    <t>卒業年月</t>
    <rPh sb="0" eb="2">
      <t>ソツギョウ</t>
    </rPh>
    <rPh sb="2" eb="4">
      <t>ネンゲツ</t>
    </rPh>
    <phoneticPr fontId="1"/>
  </si>
  <si>
    <t>修業年限</t>
    <rPh sb="0" eb="4">
      <t>シュウギョウネンゲン</t>
    </rPh>
    <phoneticPr fontId="1"/>
  </si>
  <si>
    <t>授業料（2年生以降の1年分）</t>
    <rPh sb="0" eb="3">
      <t>ジュギョウリョウ</t>
    </rPh>
    <rPh sb="5" eb="7">
      <t>ネンセイ</t>
    </rPh>
    <rPh sb="7" eb="9">
      <t>イコウ</t>
    </rPh>
    <rPh sb="11" eb="13">
      <t>ネンブン</t>
    </rPh>
    <phoneticPr fontId="1"/>
  </si>
  <si>
    <t>授業料（入学年の1年分）</t>
    <rPh sb="0" eb="3">
      <t>ジュギョウリョウ</t>
    </rPh>
    <rPh sb="4" eb="6">
      <t>ニュウガク</t>
    </rPh>
    <rPh sb="6" eb="7">
      <t>トシ</t>
    </rPh>
    <rPh sb="9" eb="11">
      <t>ネンブン</t>
    </rPh>
    <phoneticPr fontId="1"/>
  </si>
  <si>
    <t>本人データ</t>
    <rPh sb="0" eb="2">
      <t>ホンニン</t>
    </rPh>
    <phoneticPr fontId="1"/>
  </si>
  <si>
    <t>卒業年月</t>
    <rPh sb="0" eb="4">
      <t>ソツギョウネンゲツ</t>
    </rPh>
    <phoneticPr fontId="1"/>
  </si>
  <si>
    <t>文字列</t>
    <rPh sb="0" eb="3">
      <t>モジレツ</t>
    </rPh>
    <phoneticPr fontId="1"/>
  </si>
  <si>
    <t>【修学情報】</t>
    <rPh sb="1" eb="3">
      <t>シュウガク</t>
    </rPh>
    <rPh sb="3" eb="5">
      <t>ジョウホウ</t>
    </rPh>
    <phoneticPr fontId="1"/>
  </si>
  <si>
    <t>月額学費</t>
    <rPh sb="0" eb="2">
      <t>ゲツガク</t>
    </rPh>
    <rPh sb="2" eb="4">
      <t>ガクヒ</t>
    </rPh>
    <phoneticPr fontId="1"/>
  </si>
  <si>
    <t>(年額-減免)/12</t>
    <rPh sb="1" eb="3">
      <t>ネンガク</t>
    </rPh>
    <rPh sb="4" eb="6">
      <t>ゲンメン</t>
    </rPh>
    <phoneticPr fontId="1"/>
  </si>
  <si>
    <t>【月額学費】</t>
    <rPh sb="1" eb="5">
      <t>ゲツガクガクヒ</t>
    </rPh>
    <phoneticPr fontId="1"/>
  </si>
  <si>
    <t>小さい方選択</t>
    <rPh sb="0" eb="1">
      <t>チイ</t>
    </rPh>
    <rPh sb="3" eb="4">
      <t>ホウ</t>
    </rPh>
    <rPh sb="4" eb="6">
      <t>センタク</t>
    </rPh>
    <phoneticPr fontId="1"/>
  </si>
  <si>
    <t>国公立・私立</t>
    <rPh sb="0" eb="3">
      <t>コッコウリツ</t>
    </rPh>
    <rPh sb="4" eb="6">
      <t>シリツ</t>
    </rPh>
    <phoneticPr fontId="1"/>
  </si>
  <si>
    <t>【入学金計算用】</t>
    <rPh sb="1" eb="4">
      <t>ニュウガクキン</t>
    </rPh>
    <rPh sb="4" eb="7">
      <t>ケイサンヨウ</t>
    </rPh>
    <phoneticPr fontId="1"/>
  </si>
  <si>
    <t>本人区分→</t>
    <rPh sb="0" eb="2">
      <t>ホンニン</t>
    </rPh>
    <rPh sb="2" eb="4">
      <t>クブン</t>
    </rPh>
    <phoneticPr fontId="1"/>
  </si>
  <si>
    <t>国公立大学</t>
    <rPh sb="0" eb="5">
      <t>コッコウリツダイガク</t>
    </rPh>
    <phoneticPr fontId="1"/>
  </si>
  <si>
    <t>国公立短期大学</t>
    <rPh sb="0" eb="3">
      <t>コッコウリツ</t>
    </rPh>
    <rPh sb="3" eb="7">
      <t>タンキダイガク</t>
    </rPh>
    <phoneticPr fontId="1"/>
  </si>
  <si>
    <t>国公立高等専門学校</t>
    <rPh sb="0" eb="3">
      <t>コッコウリツ</t>
    </rPh>
    <rPh sb="3" eb="5">
      <t>コウトウ</t>
    </rPh>
    <rPh sb="5" eb="9">
      <t>センモンガッコウ</t>
    </rPh>
    <phoneticPr fontId="1"/>
  </si>
  <si>
    <t>国公立専門学校</t>
    <rPh sb="0" eb="3">
      <t>コッコウリツ</t>
    </rPh>
    <rPh sb="3" eb="7">
      <t>センモンガッコウ</t>
    </rPh>
    <phoneticPr fontId="1"/>
  </si>
  <si>
    <t>私立大学</t>
    <rPh sb="0" eb="2">
      <t>シリツ</t>
    </rPh>
    <rPh sb="2" eb="4">
      <t>ダイガク</t>
    </rPh>
    <phoneticPr fontId="1"/>
  </si>
  <si>
    <t>私立短期大学</t>
    <rPh sb="0" eb="2">
      <t>シリツ</t>
    </rPh>
    <rPh sb="2" eb="6">
      <t>タンキダイガク</t>
    </rPh>
    <phoneticPr fontId="1"/>
  </si>
  <si>
    <t>私立高等専門学校</t>
    <rPh sb="0" eb="2">
      <t>シリツ</t>
    </rPh>
    <rPh sb="2" eb="4">
      <t>コウトウ</t>
    </rPh>
    <rPh sb="4" eb="8">
      <t>センモンガッコウ</t>
    </rPh>
    <phoneticPr fontId="1"/>
  </si>
  <si>
    <t>私立専門学校</t>
    <rPh sb="0" eb="2">
      <t>シリツ</t>
    </rPh>
    <rPh sb="2" eb="6">
      <t>センモンガッコウ</t>
    </rPh>
    <phoneticPr fontId="1"/>
  </si>
  <si>
    <t>合計</t>
    <rPh sb="0" eb="2">
      <t>ゴウケイ</t>
    </rPh>
    <phoneticPr fontId="1"/>
  </si>
  <si>
    <t>■修学に係る費用（見込）　※年額</t>
    <phoneticPr fontId="1"/>
  </si>
  <si>
    <t>（千円未満切り捨て）</t>
    <phoneticPr fontId="1"/>
  </si>
  <si>
    <t>切り上げ</t>
    <rPh sb="0" eb="1">
      <t>キ</t>
    </rPh>
    <rPh sb="2" eb="3">
      <t>ア</t>
    </rPh>
    <phoneticPr fontId="1"/>
  </si>
  <si>
    <t>自己負担</t>
    <rPh sb="0" eb="4">
      <t>ジコフタン</t>
    </rPh>
    <phoneticPr fontId="1"/>
  </si>
  <si>
    <t>=</t>
  </si>
  <si>
    <t>入学時</t>
    <phoneticPr fontId="1"/>
  </si>
  <si>
    <t>卒業時</t>
    <phoneticPr fontId="1"/>
  </si>
  <si>
    <t>年額</t>
    <phoneticPr fontId="1"/>
  </si>
  <si>
    <t>箇月分</t>
    <phoneticPr fontId="1"/>
  </si>
  <si>
    <t>回</t>
    <phoneticPr fontId="1"/>
  </si>
  <si>
    <t>年分</t>
    <phoneticPr fontId="1"/>
  </si>
  <si>
    <t>合　計</t>
    <phoneticPr fontId="1"/>
  </si>
  <si>
    <t>　（あなたの上限額）</t>
    <phoneticPr fontId="1"/>
  </si>
  <si>
    <t>　（あなたの上限額）</t>
    <rPh sb="6" eb="9">
      <t>ジョウゲンガク</t>
    </rPh>
    <phoneticPr fontId="1"/>
  </si>
  <si>
    <t>（あなたの上限額）</t>
    <rPh sb="5" eb="8">
      <t>ジョウゲンガク</t>
    </rPh>
    <phoneticPr fontId="1"/>
  </si>
  <si>
    <t>■修学資金の借入希望について</t>
    <rPh sb="1" eb="5">
      <t>シュウガクシキン</t>
    </rPh>
    <rPh sb="6" eb="10">
      <t>カリイレキボウ</t>
    </rPh>
    <phoneticPr fontId="1"/>
  </si>
  <si>
    <t>■修学先に関する事項</t>
    <rPh sb="1" eb="4">
      <t>シュウガクサキ</t>
    </rPh>
    <rPh sb="5" eb="6">
      <t>カン</t>
    </rPh>
    <rPh sb="8" eb="10">
      <t>ジコウ</t>
    </rPh>
    <phoneticPr fontId="1"/>
  </si>
  <si>
    <t>に必要事項を入力または選択のうえ印刷し、提出してください。</t>
    <rPh sb="1" eb="5">
      <t>ヒツヨウジコウ</t>
    </rPh>
    <rPh sb="6" eb="8">
      <t>ニュウリョク</t>
    </rPh>
    <rPh sb="11" eb="13">
      <t>センタク</t>
    </rPh>
    <rPh sb="16" eb="18">
      <t>インサツ</t>
    </rPh>
    <rPh sb="20" eb="22">
      <t>テイシュツ</t>
    </rPh>
    <phoneticPr fontId="1"/>
  </si>
  <si>
    <t>※０円の場合も０を入力してください。</t>
    <rPh sb="2" eb="3">
      <t>エン</t>
    </rPh>
    <rPh sb="4" eb="6">
      <t>バアイ</t>
    </rPh>
    <rPh sb="9" eb="11">
      <t>ニュウリョク</t>
    </rPh>
    <phoneticPr fontId="1"/>
  </si>
  <si>
    <t>年生</t>
    <rPh sb="0" eb="2">
      <t>ネンセイ</t>
    </rPh>
    <phoneticPr fontId="1"/>
  </si>
  <si>
    <t>日付に変換</t>
    <rPh sb="0" eb="2">
      <t>ヒヅケ</t>
    </rPh>
    <rPh sb="3" eb="5">
      <t>ヘンカン</t>
    </rPh>
    <phoneticPr fontId="1"/>
  </si>
  <si>
    <t>修業月数</t>
    <rPh sb="0" eb="2">
      <t>シュウギョウ</t>
    </rPh>
    <rPh sb="2" eb="4">
      <t>ツキスウ</t>
    </rPh>
    <phoneticPr fontId="1"/>
  </si>
  <si>
    <t>【本人希望金額】</t>
    <rPh sb="1" eb="3">
      <t>ホンニン</t>
    </rPh>
    <rPh sb="3" eb="5">
      <t>キボウ</t>
    </rPh>
    <rPh sb="5" eb="7">
      <t>キンガク</t>
    </rPh>
    <phoneticPr fontId="1"/>
  </si>
  <si>
    <t>回数</t>
    <rPh sb="0" eb="2">
      <t>カイスウ</t>
    </rPh>
    <phoneticPr fontId="1"/>
  </si>
  <si>
    <t>総額</t>
    <rPh sb="0" eb="2">
      <t>ソウガク</t>
    </rPh>
    <phoneticPr fontId="1"/>
  </si>
  <si>
    <t>学費</t>
    <rPh sb="0" eb="2">
      <t>ガクヒ</t>
    </rPh>
    <phoneticPr fontId="1"/>
  </si>
  <si>
    <t>入学準備金</t>
    <rPh sb="0" eb="5">
      <t>ニュウガクジュンビキン</t>
    </rPh>
    <phoneticPr fontId="1"/>
  </si>
  <si>
    <t>就職準備金</t>
    <rPh sb="0" eb="5">
      <t>シュウショクジュンビキン</t>
    </rPh>
    <phoneticPr fontId="1"/>
  </si>
  <si>
    <t>国家試験対策費</t>
    <rPh sb="0" eb="4">
      <t>コッカシケン</t>
    </rPh>
    <rPh sb="4" eb="7">
      <t>タイサクヒ</t>
    </rPh>
    <phoneticPr fontId="1"/>
  </si>
  <si>
    <t>学部・学科・課程・コース名</t>
    <rPh sb="0" eb="2">
      <t>ガクブ</t>
    </rPh>
    <rPh sb="3" eb="5">
      <t>ガッカ</t>
    </rPh>
    <rPh sb="6" eb="8">
      <t>カテイ</t>
    </rPh>
    <rPh sb="12" eb="13">
      <t>メイ</t>
    </rPh>
    <phoneticPr fontId="1"/>
  </si>
  <si>
    <t>【借入希望期間】</t>
    <rPh sb="1" eb="7">
      <t>カリイレキボウキカン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</si>
  <si>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</si>
  <si>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</si>
  <si>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（あなたの申請可能期間）</t>
    <rPh sb="5" eb="7">
      <t>シンセイ</t>
    </rPh>
    <rPh sb="7" eb="9">
      <t>カノウ</t>
    </rPh>
    <rPh sb="9" eb="11">
      <t>キカン</t>
    </rPh>
    <phoneticPr fontId="1"/>
  </si>
  <si>
    <t>修学資金の借入希望期間</t>
    <rPh sb="0" eb="4">
      <t>シュウガクシキン</t>
    </rPh>
    <rPh sb="5" eb="6">
      <t>カ</t>
    </rPh>
    <rPh sb="6" eb="7">
      <t>イ</t>
    </rPh>
    <rPh sb="7" eb="11">
      <t>キボウキカン</t>
    </rPh>
    <phoneticPr fontId="1"/>
  </si>
  <si>
    <t>【借入希望期間誤りチェック】</t>
    <rPh sb="1" eb="7">
      <t>カリイレキボウキカン</t>
    </rPh>
    <rPh sb="7" eb="8">
      <t>アヤマ</t>
    </rPh>
    <phoneticPr fontId="1"/>
  </si>
  <si>
    <t>反映用</t>
    <rPh sb="0" eb="3">
      <t>ハンエイヨウ</t>
    </rPh>
    <phoneticPr fontId="1"/>
  </si>
  <si>
    <t>判定用</t>
    <rPh sb="0" eb="3">
      <t>ハンテイヨウ</t>
    </rPh>
    <phoneticPr fontId="1"/>
  </si>
  <si>
    <t>【学年誤りチェック】</t>
    <rPh sb="1" eb="3">
      <t>ガクネン</t>
    </rPh>
    <rPh sb="3" eb="4">
      <t>アヤマ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</si>
  <si>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</si>
  <si>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</si>
  <si>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</si>
  <si>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学年</t>
    <rPh sb="0" eb="2">
      <t>ガクネン</t>
    </rPh>
    <phoneticPr fontId="1"/>
  </si>
  <si>
    <t>4年</t>
    <rPh sb="1" eb="2">
      <t>ネン</t>
    </rPh>
    <phoneticPr fontId="1"/>
  </si>
  <si>
    <t>氏　名</t>
    <phoneticPr fontId="1"/>
  </si>
  <si>
    <t>【借入希望期間1箇月未満チェック】</t>
    <rPh sb="1" eb="7">
      <t>カリイレキボウキカン</t>
    </rPh>
    <rPh sb="8" eb="10">
      <t>カゲツ</t>
    </rPh>
    <rPh sb="10" eb="12">
      <t>ミマン</t>
    </rPh>
    <phoneticPr fontId="1"/>
  </si>
  <si>
    <t>借入希望期間⇒</t>
    <rPh sb="0" eb="6">
      <t>カリイレキボウキカン</t>
    </rPh>
    <phoneticPr fontId="1"/>
  </si>
  <si>
    <t>回数小数点以下チェック</t>
    <rPh sb="0" eb="2">
      <t>カイスウ</t>
    </rPh>
    <rPh sb="2" eb="5">
      <t>ショウスウテン</t>
    </rPh>
    <rPh sb="5" eb="7">
      <t>イカ</t>
    </rPh>
    <phoneticPr fontId="1"/>
  </si>
  <si>
    <t>【修学年限誤りチェック】</t>
    <rPh sb="1" eb="5">
      <t>シュウガクネンゲン</t>
    </rPh>
    <rPh sb="5" eb="6">
      <t>アヤマ</t>
    </rPh>
    <phoneticPr fontId="1"/>
  </si>
  <si>
    <t>【申請年度】</t>
    <rPh sb="1" eb="5">
      <t>シンセイネンド</t>
    </rPh>
    <phoneticPr fontId="1"/>
  </si>
  <si>
    <t>本来の入学年
（4月入学）</t>
    <rPh sb="0" eb="2">
      <t>ホンライ</t>
    </rPh>
    <rPh sb="3" eb="6">
      <t>ニュウガクネン</t>
    </rPh>
    <rPh sb="9" eb="10">
      <t>ガツ</t>
    </rPh>
    <rPh sb="10" eb="12">
      <t>ニュウガク</t>
    </rPh>
    <phoneticPr fontId="1"/>
  </si>
  <si>
    <t>本来の入学年
（10月入学）</t>
    <rPh sb="0" eb="2">
      <t>ホンライ</t>
    </rPh>
    <rPh sb="3" eb="6">
      <t>ニュウガクネン</t>
    </rPh>
    <rPh sb="10" eb="11">
      <t>ガツ</t>
    </rPh>
    <rPh sb="11" eb="13">
      <t>ニュウガク</t>
    </rPh>
    <phoneticPr fontId="1"/>
  </si>
  <si>
    <t>【借り入れ可能期間】</t>
    <rPh sb="1" eb="2">
      <t>カ</t>
    </rPh>
    <rPh sb="3" eb="4">
      <t>イ</t>
    </rPh>
    <rPh sb="5" eb="7">
      <t>カノウ</t>
    </rPh>
    <rPh sb="7" eb="9">
      <t>キカン</t>
    </rPh>
    <phoneticPr fontId="1"/>
  </si>
  <si>
    <t>年度</t>
    <rPh sb="0" eb="2">
      <t>ネンド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</si>
  <si>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</si>
  <si>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</si>
  <si>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年直し</t>
    <rPh sb="0" eb="1">
      <t>ネン</t>
    </rPh>
    <rPh sb="1" eb="2">
      <t>ナオ</t>
    </rPh>
    <phoneticPr fontId="1"/>
  </si>
  <si>
    <t>月直し</t>
    <rPh sb="0" eb="2">
      <t>ツキナオ</t>
    </rPh>
    <phoneticPr fontId="1"/>
  </si>
  <si>
    <t>未記入時の開始</t>
    <rPh sb="0" eb="3">
      <t>ミキニュウ</t>
    </rPh>
    <rPh sb="3" eb="4">
      <t>ジ</t>
    </rPh>
    <rPh sb="5" eb="7">
      <t>カイシ</t>
    </rPh>
    <phoneticPr fontId="1"/>
  </si>
  <si>
    <t>未記入時の修了</t>
    <rPh sb="0" eb="3">
      <t>ミキニュウ</t>
    </rPh>
    <rPh sb="3" eb="4">
      <t>ジ</t>
    </rPh>
    <rPh sb="5" eb="7">
      <t>シュウリョウ</t>
    </rPh>
    <phoneticPr fontId="1"/>
  </si>
  <si>
    <t>終了（日付フル）</t>
    <rPh sb="0" eb="2">
      <t>シュウリョウ</t>
    </rPh>
    <rPh sb="3" eb="5">
      <t>ヒヅケ</t>
    </rPh>
    <phoneticPr fontId="1"/>
  </si>
  <si>
    <t>終了（日付分割）</t>
    <rPh sb="0" eb="2">
      <t>シュウリョウ</t>
    </rPh>
    <rPh sb="3" eb="5">
      <t>ヒヅケ</t>
    </rPh>
    <rPh sb="5" eb="7">
      <t>ブンカツ</t>
    </rPh>
    <phoneticPr fontId="1"/>
  </si>
  <si>
    <t>10月</t>
  </si>
  <si>
    <t>9月</t>
  </si>
  <si>
    <t>【国家試験受験対策費計算】</t>
    <rPh sb="1" eb="7">
      <t>コッカシケンジュケン</t>
    </rPh>
    <rPh sb="7" eb="10">
      <t>タイサクヒ</t>
    </rPh>
    <rPh sb="10" eb="12">
      <t>ケイサン</t>
    </rPh>
    <phoneticPr fontId="1"/>
  </si>
  <si>
    <t>借入希望期間 開始</t>
    <rPh sb="0" eb="2">
      <t>カリイレ</t>
    </rPh>
    <rPh sb="2" eb="6">
      <t>キボウキカン</t>
    </rPh>
    <rPh sb="7" eb="9">
      <t>カイシ</t>
    </rPh>
    <phoneticPr fontId="1"/>
  </si>
  <si>
    <t>　　　　　　 終了</t>
    <rPh sb="7" eb="9">
      <t>シュウリョウ</t>
    </rPh>
    <phoneticPr fontId="1"/>
  </si>
  <si>
    <t>月</t>
    <rPh sb="0" eb="1">
      <t>ツキ</t>
    </rPh>
    <phoneticPr fontId="1"/>
  </si>
  <si>
    <t>年月日</t>
    <rPh sb="0" eb="3">
      <t>ネンガッピ</t>
    </rPh>
    <phoneticPr fontId="1"/>
  </si>
  <si>
    <t>1年目</t>
    <rPh sb="1" eb="3">
      <t>ネンメ</t>
    </rPh>
    <phoneticPr fontId="1"/>
  </si>
  <si>
    <t>2年目</t>
    <rPh sb="1" eb="3">
      <t>ネンメ</t>
    </rPh>
    <phoneticPr fontId="1"/>
  </si>
  <si>
    <t>3年目</t>
    <rPh sb="1" eb="3">
      <t>ネンメ</t>
    </rPh>
    <phoneticPr fontId="1"/>
  </si>
  <si>
    <t>4年目</t>
    <rPh sb="1" eb="3">
      <t>ネンメ</t>
    </rPh>
    <phoneticPr fontId="1"/>
  </si>
  <si>
    <t>4月</t>
    <rPh sb="1" eb="2">
      <t>ガツ</t>
    </rPh>
    <phoneticPr fontId="1"/>
  </si>
  <si>
    <t>5月</t>
  </si>
  <si>
    <t>6月</t>
  </si>
  <si>
    <t>7月</t>
  </si>
  <si>
    <t>8月</t>
  </si>
  <si>
    <t>11月</t>
  </si>
  <si>
    <t>12月</t>
  </si>
  <si>
    <t>1月</t>
  </si>
  <si>
    <t>2月</t>
  </si>
  <si>
    <t>3月</t>
  </si>
  <si>
    <t>月数、年数</t>
    <rPh sb="0" eb="2">
      <t>ツキスウ</t>
    </rPh>
    <rPh sb="3" eb="5">
      <t>ネンスウ</t>
    </rPh>
    <phoneticPr fontId="1"/>
  </si>
  <si>
    <t>借入希望期間開始年⇒</t>
    <rPh sb="0" eb="2">
      <t>カリイレ</t>
    </rPh>
    <rPh sb="2" eb="6">
      <t>キボウキカン</t>
    </rPh>
    <rPh sb="6" eb="9">
      <t>カイシドシ</t>
    </rPh>
    <phoneticPr fontId="1"/>
  </si>
  <si>
    <t>○の合計</t>
    <rPh sb="2" eb="4">
      <t>ゴウケイ</t>
    </rPh>
    <phoneticPr fontId="1"/>
  </si>
  <si>
    <t>国家試験受験対策費申請可能回数</t>
    <rPh sb="0" eb="4">
      <t>コッカシケン</t>
    </rPh>
    <rPh sb="4" eb="9">
      <t>ジュケンタイサクヒ</t>
    </rPh>
    <rPh sb="9" eb="11">
      <t>シンセイ</t>
    </rPh>
    <rPh sb="11" eb="13">
      <t>カノウ</t>
    </rPh>
    <rPh sb="13" eb="15">
      <t>カイスウ</t>
    </rPh>
    <phoneticPr fontId="1"/>
  </si>
  <si>
    <t>10月</t>
    <rPh sb="2" eb="3">
      <t>ガツ</t>
    </rPh>
    <phoneticPr fontId="1"/>
  </si>
  <si>
    <t>フリガナ</t>
    <phoneticPr fontId="1"/>
  </si>
  <si>
    <t>【入学年度選択肢】</t>
    <rPh sb="1" eb="5">
      <t>ニュウガクネンド</t>
    </rPh>
    <rPh sb="5" eb="8">
      <t>センタクシ</t>
    </rPh>
    <phoneticPr fontId="1"/>
  </si>
  <si>
    <t>【借入年数選択肢】</t>
    <rPh sb="1" eb="5">
      <t>カリイレネンスウ</t>
    </rPh>
    <rPh sb="5" eb="8">
      <t>センタクシ</t>
    </rPh>
    <phoneticPr fontId="1"/>
  </si>
  <si>
    <t>←年度日数調整</t>
    <rPh sb="1" eb="3">
      <t>ネンド</t>
    </rPh>
    <rPh sb="3" eb="7">
      <t>ニッスウチョウセイ</t>
    </rPh>
    <phoneticPr fontId="1"/>
  </si>
  <si>
    <t>Ⅳ</t>
    <phoneticPr fontId="1"/>
  </si>
  <si>
    <t>☑ 特待生制度等により、入学金は0円で間違いありません。</t>
    <rPh sb="2" eb="8">
      <t>トクタイセイセイドトウ</t>
    </rPh>
    <rPh sb="12" eb="15">
      <t>ニュウガクキン</t>
    </rPh>
    <rPh sb="17" eb="18">
      <t>エン</t>
    </rPh>
    <rPh sb="19" eb="21">
      <t>マチガ</t>
    </rPh>
    <phoneticPr fontId="1"/>
  </si>
  <si>
    <t>（全額）</t>
    <rPh sb="0" eb="4">
      <t>｢ゼンガク｣</t>
    </rPh>
    <phoneticPr fontId="1"/>
  </si>
  <si>
    <t>（2/3）</t>
    <phoneticPr fontId="1"/>
  </si>
  <si>
    <t>（1/3）</t>
    <phoneticPr fontId="1"/>
  </si>
  <si>
    <t>←2024年4月追加（1/4）、2025年4月（全額）</t>
    <rPh sb="5" eb="6">
      <t>ネン</t>
    </rPh>
    <rPh sb="7" eb="8">
      <t>ガツ</t>
    </rPh>
    <rPh sb="8" eb="10">
      <t>ツイカ</t>
    </rPh>
    <rPh sb="20" eb="21">
      <t>ネン</t>
    </rPh>
    <rPh sb="22" eb="23">
      <t>ガツ</t>
    </rPh>
    <rPh sb="23" eb="27">
      <t>｢ゼンガク｣</t>
    </rPh>
    <phoneticPr fontId="1"/>
  </si>
  <si>
    <t>支援金額（減免率）</t>
    <rPh sb="0" eb="4">
      <t>シエンキンガク</t>
    </rPh>
    <rPh sb="5" eb="8">
      <t>ゲンメンリツ</t>
    </rPh>
    <phoneticPr fontId="1"/>
  </si>
  <si>
    <t>埼玉県介護福祉士修学資金　シミュレーションシート（令和8年度4月募集用）</t>
    <rPh sb="0" eb="3">
      <t>サイタマケン</t>
    </rPh>
    <rPh sb="3" eb="8">
      <t>カイゴフクシシ</t>
    </rPh>
    <rPh sb="8" eb="10">
      <t>シュウガク</t>
    </rPh>
    <rPh sb="10" eb="12">
      <t>シキン</t>
    </rPh>
    <rPh sb="25" eb="27">
      <t>レイワ</t>
    </rPh>
    <rPh sb="28" eb="30">
      <t>ネンド</t>
    </rPh>
    <rPh sb="31" eb="32">
      <t>ガツ</t>
    </rPh>
    <rPh sb="32" eb="35">
      <t>ボシュウヨウ</t>
    </rPh>
    <phoneticPr fontId="1"/>
  </si>
  <si>
    <t>2年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</si>
</sst>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&quot;円&quot;"/>
    <numFmt numFmtId="177" formatCode="yyyy&quot;年&quot;m&quot;月&quot;;@"/>
    <numFmt numFmtId="178" formatCode="#,##0_ "/>
    <numFmt numFmtId="179" formatCode="#,##0_);[Red]\(#,##0\)"/>
    <numFmt numFmtId="180" formatCode="0_);[Red]\(0\)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sz val="12"/>
      <color theme="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2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0" fillId="0" borderId="6" xfId="0" applyNumberFormat="1" applyBorder="1">
      <alignment vertical="center"/>
    </xf>
    <xf numFmtId="0" fontId="0" fillId="0" borderId="20" xfId="0" applyBorder="1" applyAlignment="1">
      <alignment horizontal="center" vertical="center"/>
    </xf>
    <xf numFmtId="178" fontId="0" fillId="0" borderId="21" xfId="0" applyNumberFormat="1" applyBorder="1">
      <alignment vertical="center"/>
    </xf>
    <xf numFmtId="178" fontId="0" fillId="0" borderId="22" xfId="0" applyNumberFormat="1" applyBorder="1">
      <alignment vertical="center"/>
    </xf>
    <xf numFmtId="0" fontId="0" fillId="0" borderId="11" xfId="0" applyBorder="1" applyAlignment="1">
      <alignment horizontal="center" vertical="center" shrinkToFit="1"/>
    </xf>
    <xf numFmtId="178" fontId="0" fillId="0" borderId="11" xfId="0" applyNumberFormat="1" applyBorder="1">
      <alignment vertical="center"/>
    </xf>
    <xf numFmtId="14" fontId="0" fillId="0" borderId="1" xfId="0" applyNumberFormat="1" applyBorder="1">
      <alignment vertical="center"/>
    </xf>
    <xf numFmtId="0" fontId="0" fillId="2" borderId="1" xfId="0" applyFill="1" applyBorder="1" applyAlignment="1">
      <alignment horizontal="center" vertical="center"/>
    </xf>
    <xf numFmtId="178" fontId="0" fillId="2" borderId="1" xfId="0" applyNumberFormat="1" applyFill="1" applyBorder="1">
      <alignment vertical="center"/>
    </xf>
    <xf numFmtId="178" fontId="0" fillId="3" borderId="1" xfId="0" applyNumberFormat="1" applyFill="1" applyBorder="1">
      <alignment vertical="center"/>
    </xf>
    <xf numFmtId="0" fontId="0" fillId="3" borderId="5" xfId="0" applyFill="1" applyBorder="1" applyAlignment="1">
      <alignment horizontal="center" vertical="center" shrinkToFit="1"/>
    </xf>
    <xf numFmtId="178" fontId="0" fillId="3" borderId="5" xfId="0" applyNumberFormat="1" applyFill="1" applyBorder="1">
      <alignment vertical="center"/>
    </xf>
    <xf numFmtId="0" fontId="0" fillId="0" borderId="26" xfId="0" applyBorder="1" applyAlignment="1">
      <alignment vertical="center" shrinkToFit="1"/>
    </xf>
    <xf numFmtId="0" fontId="0" fillId="0" borderId="27" xfId="0" applyBorder="1">
      <alignment vertical="center"/>
    </xf>
    <xf numFmtId="0" fontId="0" fillId="0" borderId="28" xfId="0" applyBorder="1" applyAlignment="1">
      <alignment vertical="center" shrinkToFit="1"/>
    </xf>
    <xf numFmtId="0" fontId="0" fillId="0" borderId="29" xfId="0" applyBorder="1">
      <alignment vertical="center"/>
    </xf>
    <xf numFmtId="0" fontId="0" fillId="0" borderId="30" xfId="0" applyBorder="1" applyAlignment="1">
      <alignment vertical="center" shrinkToFit="1"/>
    </xf>
    <xf numFmtId="0" fontId="0" fillId="0" borderId="31" xfId="0" applyBorder="1">
      <alignment vertical="center"/>
    </xf>
    <xf numFmtId="0" fontId="0" fillId="0" borderId="32" xfId="0" applyBorder="1" applyAlignment="1">
      <alignment vertical="center" shrinkToFit="1"/>
    </xf>
    <xf numFmtId="0" fontId="0" fillId="0" borderId="33" xfId="0" applyBorder="1">
      <alignment vertical="center"/>
    </xf>
    <xf numFmtId="0" fontId="0" fillId="0" borderId="35" xfId="0" applyBorder="1">
      <alignment vertical="center"/>
    </xf>
    <xf numFmtId="0" fontId="0" fillId="0" borderId="34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 shrinkToFit="1"/>
    </xf>
    <xf numFmtId="0" fontId="0" fillId="3" borderId="10" xfId="0" applyFill="1" applyBorder="1" applyAlignment="1">
      <alignment horizontal="center" vertical="center" shrinkToFit="1"/>
    </xf>
    <xf numFmtId="14" fontId="0" fillId="0" borderId="0" xfId="0" applyNumberFormat="1">
      <alignment vertical="center"/>
    </xf>
    <xf numFmtId="14" fontId="0" fillId="0" borderId="2" xfId="0" applyNumberFormat="1" applyBorder="1">
      <alignment vertical="center"/>
    </xf>
    <xf numFmtId="180" fontId="0" fillId="0" borderId="0" xfId="0" applyNumberFormat="1">
      <alignment vertical="center"/>
    </xf>
    <xf numFmtId="180" fontId="0" fillId="0" borderId="1" xfId="0" applyNumberFormat="1" applyBorder="1">
      <alignment vertical="center"/>
    </xf>
    <xf numFmtId="0" fontId="0" fillId="0" borderId="58" xfId="0" applyBorder="1">
      <alignment vertical="center"/>
    </xf>
    <xf numFmtId="178" fontId="0" fillId="7" borderId="1" xfId="0" applyNumberFormat="1" applyFill="1" applyBorder="1">
      <alignment vertical="center"/>
    </xf>
    <xf numFmtId="14" fontId="0" fillId="7" borderId="0" xfId="0" applyNumberFormat="1" applyFill="1">
      <alignment vertical="center"/>
    </xf>
    <xf numFmtId="14" fontId="0" fillId="0" borderId="58" xfId="0" applyNumberFormat="1" applyBorder="1">
      <alignment vertical="center"/>
    </xf>
    <xf numFmtId="0" fontId="0" fillId="0" borderId="6" xfId="0" applyBorder="1">
      <alignment vertical="center"/>
    </xf>
    <xf numFmtId="0" fontId="0" fillId="0" borderId="14" xfId="0" applyBorder="1">
      <alignment vertical="center"/>
    </xf>
    <xf numFmtId="0" fontId="0" fillId="0" borderId="9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58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36" xfId="0" applyBorder="1">
      <alignment vertical="center"/>
    </xf>
    <xf numFmtId="0" fontId="0" fillId="0" borderId="1" xfId="0" applyBorder="1" applyAlignment="1">
      <alignment vertical="center" wrapText="1"/>
    </xf>
    <xf numFmtId="0" fontId="0" fillId="5" borderId="0" xfId="0" applyFill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5" borderId="36" xfId="0" applyFont="1" applyFill="1" applyBorder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4" borderId="6" xfId="0" applyFont="1" applyFill="1" applyBorder="1">
      <alignment vertical="center"/>
    </xf>
    <xf numFmtId="0" fontId="5" fillId="0" borderId="5" xfId="0" applyFont="1" applyBorder="1">
      <alignment vertical="center"/>
    </xf>
    <xf numFmtId="0" fontId="5" fillId="4" borderId="6" xfId="0" applyFont="1" applyFill="1" applyBorder="1" applyAlignment="1">
      <alignment vertical="center" shrinkToFit="1"/>
    </xf>
    <xf numFmtId="0" fontId="5" fillId="4" borderId="14" xfId="0" applyFont="1" applyFill="1" applyBorder="1">
      <alignment vertical="center"/>
    </xf>
    <xf numFmtId="0" fontId="5" fillId="0" borderId="15" xfId="0" applyFont="1" applyBorder="1">
      <alignment vertical="center"/>
    </xf>
    <xf numFmtId="0" fontId="5" fillId="4" borderId="4" xfId="0" applyFont="1" applyFill="1" applyBorder="1">
      <alignment vertical="center"/>
    </xf>
    <xf numFmtId="0" fontId="5" fillId="0" borderId="10" xfId="0" applyFont="1" applyBorder="1">
      <alignment vertical="center"/>
    </xf>
    <xf numFmtId="0" fontId="5" fillId="4" borderId="1" xfId="0" applyFont="1" applyFill="1" applyBorder="1" applyAlignment="1">
      <alignment vertical="center" shrinkToFit="1"/>
    </xf>
    <xf numFmtId="0" fontId="4" fillId="0" borderId="5" xfId="0" applyFont="1" applyBorder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176" fontId="4" fillId="0" borderId="5" xfId="0" applyNumberFormat="1" applyFont="1" applyBorder="1">
      <alignment vertical="center"/>
    </xf>
    <xf numFmtId="177" fontId="4" fillId="5" borderId="36" xfId="0" applyNumberFormat="1" applyFont="1" applyFill="1" applyBorder="1" applyAlignment="1" applyProtection="1">
      <alignment horizontal="center" vertical="center"/>
      <protection locked="0"/>
    </xf>
    <xf numFmtId="0" fontId="4" fillId="0" borderId="67" xfId="0" applyFont="1" applyBorder="1" applyAlignment="1">
      <alignment horizontal="center" vertical="center"/>
    </xf>
    <xf numFmtId="0" fontId="4" fillId="6" borderId="43" xfId="0" applyFont="1" applyFill="1" applyBorder="1">
      <alignment vertical="center"/>
    </xf>
    <xf numFmtId="0" fontId="7" fillId="6" borderId="44" xfId="0" applyFont="1" applyFill="1" applyBorder="1" applyAlignment="1">
      <alignment horizontal="left" vertical="center"/>
    </xf>
    <xf numFmtId="0" fontId="7" fillId="6" borderId="45" xfId="0" applyFont="1" applyFill="1" applyBorder="1">
      <alignment vertical="center"/>
    </xf>
    <xf numFmtId="14" fontId="4" fillId="0" borderId="0" xfId="0" applyNumberFormat="1" applyFont="1">
      <alignment vertical="center"/>
    </xf>
    <xf numFmtId="0" fontId="4" fillId="4" borderId="40" xfId="0" applyFont="1" applyFill="1" applyBorder="1" applyAlignment="1">
      <alignment vertical="center" wrapText="1"/>
    </xf>
    <xf numFmtId="0" fontId="4" fillId="0" borderId="68" xfId="0" applyFont="1" applyBorder="1" applyAlignment="1">
      <alignment horizontal="right" vertical="center"/>
    </xf>
    <xf numFmtId="0" fontId="4" fillId="0" borderId="59" xfId="0" applyFont="1" applyBorder="1">
      <alignment vertical="center"/>
    </xf>
    <xf numFmtId="0" fontId="4" fillId="0" borderId="59" xfId="0" applyFont="1" applyBorder="1" applyAlignment="1">
      <alignment horizontal="center" vertical="center"/>
    </xf>
    <xf numFmtId="0" fontId="4" fillId="0" borderId="59" xfId="0" applyFont="1" applyBorder="1" applyAlignment="1">
      <alignment horizontal="left" vertical="center"/>
    </xf>
    <xf numFmtId="0" fontId="9" fillId="0" borderId="45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4" fillId="4" borderId="4" xfId="0" applyFont="1" applyFill="1" applyBorder="1" applyAlignment="1">
      <alignment horizontal="left" vertical="center" wrapText="1"/>
    </xf>
    <xf numFmtId="0" fontId="4" fillId="0" borderId="12" xfId="0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61" xfId="0" applyFont="1" applyBorder="1" applyAlignment="1">
      <alignment horizontal="center" vertical="center"/>
    </xf>
    <xf numFmtId="0" fontId="4" fillId="0" borderId="43" xfId="0" applyFont="1" applyBorder="1" applyAlignment="1">
      <alignment horizontal="right" vertical="center"/>
    </xf>
    <xf numFmtId="0" fontId="4" fillId="0" borderId="44" xfId="0" applyFont="1" applyBorder="1">
      <alignment vertical="center"/>
    </xf>
    <xf numFmtId="0" fontId="4" fillId="0" borderId="44" xfId="0" applyFont="1" applyBorder="1" applyAlignment="1">
      <alignment horizontal="center" vertical="center"/>
    </xf>
    <xf numFmtId="0" fontId="4" fillId="0" borderId="44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4" fillId="4" borderId="19" xfId="0" applyFont="1" applyFill="1" applyBorder="1" applyAlignment="1">
      <alignment vertical="center" wrapText="1"/>
    </xf>
    <xf numFmtId="0" fontId="4" fillId="0" borderId="41" xfId="0" applyFont="1" applyBorder="1" applyAlignment="1">
      <alignment horizontal="right" vertical="center"/>
    </xf>
    <xf numFmtId="0" fontId="4" fillId="0" borderId="42" xfId="0" applyFont="1" applyBorder="1">
      <alignment vertical="center"/>
    </xf>
    <xf numFmtId="0" fontId="4" fillId="0" borderId="42" xfId="0" applyFont="1" applyBorder="1" applyAlignment="1">
      <alignment horizontal="center" vertical="center"/>
    </xf>
    <xf numFmtId="0" fontId="4" fillId="0" borderId="42" xfId="0" applyFont="1" applyBorder="1" applyAlignment="1">
      <alignment horizontal="left" vertical="center"/>
    </xf>
    <xf numFmtId="0" fontId="4" fillId="0" borderId="60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4" fillId="2" borderId="7" xfId="0" applyFont="1" applyFill="1" applyBorder="1" applyAlignment="1">
      <alignment horizontal="center" vertical="center" textRotation="255"/>
    </xf>
    <xf numFmtId="0" fontId="4" fillId="2" borderId="13" xfId="0" applyFont="1" applyFill="1" applyBorder="1" applyAlignment="1">
      <alignment horizontal="center" vertical="center" textRotation="255"/>
    </xf>
    <xf numFmtId="0" fontId="4" fillId="2" borderId="9" xfId="0" applyFont="1" applyFill="1" applyBorder="1" applyAlignment="1">
      <alignment horizontal="center" vertical="center" textRotation="255"/>
    </xf>
    <xf numFmtId="178" fontId="9" fillId="5" borderId="37" xfId="0" applyNumberFormat="1" applyFont="1" applyFill="1" applyBorder="1" applyAlignment="1" applyProtection="1">
      <alignment horizontal="right" vertical="center"/>
      <protection locked="0"/>
    </xf>
    <xf numFmtId="178" fontId="9" fillId="5" borderId="39" xfId="0" applyNumberFormat="1" applyFont="1" applyFill="1" applyBorder="1" applyAlignment="1" applyProtection="1">
      <alignment horizontal="right" vertical="center"/>
      <protection locked="0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179" fontId="9" fillId="0" borderId="46" xfId="0" applyNumberFormat="1" applyFont="1" applyBorder="1" applyAlignment="1">
      <alignment horizontal="right" vertical="center"/>
    </xf>
    <xf numFmtId="179" fontId="4" fillId="0" borderId="12" xfId="0" applyNumberFormat="1" applyFont="1" applyBorder="1">
      <alignment vertical="center"/>
    </xf>
    <xf numFmtId="0" fontId="4" fillId="5" borderId="37" xfId="0" applyFont="1" applyFill="1" applyBorder="1" applyAlignment="1" applyProtection="1">
      <alignment horizontal="center" vertical="center" wrapText="1"/>
      <protection locked="0"/>
    </xf>
    <xf numFmtId="0" fontId="4" fillId="5" borderId="38" xfId="0" applyFont="1" applyFill="1" applyBorder="1" applyAlignment="1" applyProtection="1">
      <alignment horizontal="center" vertical="center" wrapText="1"/>
      <protection locked="0"/>
    </xf>
    <xf numFmtId="0" fontId="4" fillId="5" borderId="39" xfId="0" applyFont="1" applyFill="1" applyBorder="1" applyAlignment="1" applyProtection="1">
      <alignment horizontal="center" vertical="center" wrapText="1"/>
      <protection locked="0"/>
    </xf>
    <xf numFmtId="0" fontId="4" fillId="5" borderId="37" xfId="0" applyFont="1" applyFill="1" applyBorder="1" applyAlignment="1" applyProtection="1">
      <alignment horizontal="center" vertical="center"/>
      <protection locked="0"/>
    </xf>
    <xf numFmtId="0" fontId="4" fillId="5" borderId="39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66" xfId="0" applyFont="1" applyFill="1" applyBorder="1" applyAlignment="1">
      <alignment horizontal="center" vertical="center"/>
    </xf>
    <xf numFmtId="0" fontId="5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horizontal="left" vertical="center"/>
    </xf>
    <xf numFmtId="0" fontId="5" fillId="5" borderId="37" xfId="0" applyFont="1" applyFill="1" applyBorder="1" applyAlignment="1" applyProtection="1">
      <alignment horizontal="center" vertical="center"/>
      <protection locked="0"/>
    </xf>
    <xf numFmtId="0" fontId="5" fillId="5" borderId="38" xfId="0" applyFont="1" applyFill="1" applyBorder="1" applyAlignment="1" applyProtection="1">
      <alignment horizontal="center" vertical="center"/>
      <protection locked="0"/>
    </xf>
    <xf numFmtId="0" fontId="5" fillId="5" borderId="39" xfId="0" applyFont="1" applyFill="1" applyBorder="1" applyAlignment="1" applyProtection="1">
      <alignment horizontal="center" vertical="center"/>
      <protection locked="0"/>
    </xf>
    <xf numFmtId="0" fontId="4" fillId="5" borderId="38" xfId="0" applyFont="1" applyFill="1" applyBorder="1" applyAlignment="1" applyProtection="1">
      <alignment horizontal="center" vertical="center"/>
      <protection locked="0"/>
    </xf>
    <xf numFmtId="0" fontId="4" fillId="5" borderId="57" xfId="0" applyFont="1" applyFill="1" applyBorder="1" applyAlignment="1" applyProtection="1">
      <alignment horizontal="center" vertical="center"/>
      <protection locked="0"/>
    </xf>
    <xf numFmtId="0" fontId="5" fillId="5" borderId="52" xfId="0" applyFont="1" applyFill="1" applyBorder="1" applyAlignment="1" applyProtection="1">
      <alignment horizontal="center" vertical="center"/>
      <protection locked="0"/>
    </xf>
    <xf numFmtId="0" fontId="5" fillId="5" borderId="54" xfId="0" applyFont="1" applyFill="1" applyBorder="1" applyAlignment="1" applyProtection="1">
      <alignment horizontal="center" vertical="center"/>
      <protection locked="0"/>
    </xf>
    <xf numFmtId="177" fontId="5" fillId="0" borderId="4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179" fontId="5" fillId="5" borderId="37" xfId="0" applyNumberFormat="1" applyFont="1" applyFill="1" applyBorder="1" applyAlignment="1" applyProtection="1">
      <alignment horizontal="right" vertical="center"/>
      <protection locked="0"/>
    </xf>
    <xf numFmtId="179" fontId="5" fillId="5" borderId="39" xfId="0" applyNumberFormat="1" applyFont="1" applyFill="1" applyBorder="1" applyAlignment="1" applyProtection="1">
      <alignment horizontal="right" vertical="center"/>
      <protection locked="0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4" fillId="0" borderId="8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61" xfId="0" applyFont="1" applyBorder="1" applyAlignment="1">
      <alignment horizontal="right" vertical="center"/>
    </xf>
    <xf numFmtId="0" fontId="4" fillId="0" borderId="51" xfId="0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177" fontId="4" fillId="0" borderId="4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177" fontId="4" fillId="5" borderId="37" xfId="0" applyNumberFormat="1" applyFont="1" applyFill="1" applyBorder="1" applyAlignment="1" applyProtection="1">
      <alignment horizontal="center" vertical="center"/>
      <protection locked="0"/>
    </xf>
    <xf numFmtId="177" fontId="4" fillId="5" borderId="38" xfId="0" applyNumberFormat="1" applyFont="1" applyFill="1" applyBorder="1" applyAlignment="1" applyProtection="1">
      <alignment horizontal="center" vertical="center"/>
      <protection locked="0"/>
    </xf>
    <xf numFmtId="177" fontId="4" fillId="5" borderId="39" xfId="0" applyNumberFormat="1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5" fillId="4" borderId="23" xfId="0" applyFont="1" applyFill="1" applyBorder="1" applyAlignment="1">
      <alignment horizontal="center" vertical="center"/>
    </xf>
    <xf numFmtId="0" fontId="5" fillId="4" borderId="64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right" vertical="center"/>
    </xf>
    <xf numFmtId="178" fontId="7" fillId="0" borderId="11" xfId="0" applyNumberFormat="1" applyFont="1" applyBorder="1" applyAlignment="1">
      <alignment horizontal="right" vertical="center"/>
    </xf>
    <xf numFmtId="177" fontId="4" fillId="0" borderId="4" xfId="0" applyNumberFormat="1" applyFont="1" applyBorder="1" applyAlignment="1" applyProtection="1">
      <alignment horizontal="center" vertical="center"/>
      <protection locked="0"/>
    </xf>
    <xf numFmtId="177" fontId="4" fillId="0" borderId="3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179" fontId="5" fillId="0" borderId="6" xfId="0" applyNumberFormat="1" applyFont="1" applyBorder="1" applyAlignment="1">
      <alignment horizontal="right" vertical="center"/>
    </xf>
    <xf numFmtId="179" fontId="5" fillId="0" borderId="1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0" fontId="4" fillId="5" borderId="52" xfId="0" applyFont="1" applyFill="1" applyBorder="1" applyAlignment="1" applyProtection="1">
      <alignment horizontal="center" vertical="center"/>
      <protection locked="0"/>
    </xf>
    <xf numFmtId="0" fontId="4" fillId="5" borderId="53" xfId="0" applyFont="1" applyFill="1" applyBorder="1" applyAlignment="1" applyProtection="1">
      <alignment horizontal="center" vertical="center"/>
      <protection locked="0"/>
    </xf>
    <xf numFmtId="0" fontId="4" fillId="5" borderId="54" xfId="0" applyFont="1" applyFill="1" applyBorder="1" applyAlignment="1" applyProtection="1">
      <alignment horizontal="center" vertical="center"/>
      <protection locked="0"/>
    </xf>
    <xf numFmtId="179" fontId="5" fillId="0" borderId="9" xfId="0" applyNumberFormat="1" applyFont="1" applyBorder="1" applyAlignment="1">
      <alignment horizontal="right" vertical="center"/>
    </xf>
    <xf numFmtId="179" fontId="5" fillId="0" borderId="12" xfId="0" applyNumberFormat="1" applyFont="1" applyBorder="1" applyAlignment="1">
      <alignment horizontal="right" vertical="center"/>
    </xf>
    <xf numFmtId="0" fontId="5" fillId="2" borderId="19" xfId="0" applyFont="1" applyFill="1" applyBorder="1" applyAlignment="1">
      <alignment horizontal="center" vertical="center" textRotation="255"/>
    </xf>
    <xf numFmtId="179" fontId="5" fillId="5" borderId="38" xfId="0" applyNumberFormat="1" applyFont="1" applyFill="1" applyBorder="1" applyAlignment="1" applyProtection="1">
      <alignment horizontal="right" vertical="center"/>
      <protection locked="0"/>
    </xf>
    <xf numFmtId="179" fontId="5" fillId="0" borderId="4" xfId="0" applyNumberFormat="1" applyFont="1" applyBorder="1" applyAlignment="1">
      <alignment horizontal="right" vertical="center"/>
    </xf>
    <xf numFmtId="179" fontId="5" fillId="0" borderId="1" xfId="0" applyNumberFormat="1" applyFont="1" applyBorder="1" applyAlignment="1">
      <alignment horizontal="right" vertical="center"/>
    </xf>
    <xf numFmtId="179" fontId="9" fillId="0" borderId="44" xfId="0" applyNumberFormat="1" applyFont="1" applyBorder="1" applyAlignment="1">
      <alignment horizontal="right" vertical="center"/>
    </xf>
    <xf numFmtId="0" fontId="5" fillId="0" borderId="32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/>
    </xf>
    <xf numFmtId="176" fontId="4" fillId="0" borderId="18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179" fontId="5" fillId="0" borderId="7" xfId="0" applyNumberFormat="1" applyFont="1" applyBorder="1" applyAlignment="1">
      <alignment horizontal="right" vertical="center"/>
    </xf>
    <xf numFmtId="179" fontId="5" fillId="0" borderId="18" xfId="0" applyNumberFormat="1" applyFont="1" applyBorder="1" applyAlignment="1">
      <alignment horizontal="right" vertical="center"/>
    </xf>
    <xf numFmtId="0" fontId="5" fillId="4" borderId="14" xfId="0" applyFont="1" applyFill="1" applyBorder="1" applyAlignment="1">
      <alignment horizontal="left" vertical="center"/>
    </xf>
    <xf numFmtId="0" fontId="5" fillId="4" borderId="16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/>
    </xf>
    <xf numFmtId="0" fontId="4" fillId="5" borderId="37" xfId="0" applyFont="1" applyFill="1" applyBorder="1" applyAlignment="1" applyProtection="1">
      <alignment horizontal="center" vertical="center" shrinkToFit="1"/>
      <protection locked="0"/>
    </xf>
    <xf numFmtId="0" fontId="4" fillId="5" borderId="38" xfId="0" applyFont="1" applyFill="1" applyBorder="1" applyAlignment="1" applyProtection="1">
      <alignment horizontal="center" vertical="center" shrinkToFit="1"/>
      <protection locked="0"/>
    </xf>
    <xf numFmtId="0" fontId="4" fillId="5" borderId="39" xfId="0" applyFont="1" applyFill="1" applyBorder="1" applyAlignment="1" applyProtection="1">
      <alignment horizontal="center" vertical="center" shrinkToFit="1"/>
      <protection locked="0"/>
    </xf>
    <xf numFmtId="179" fontId="4" fillId="0" borderId="42" xfId="0" applyNumberFormat="1" applyFont="1" applyBorder="1">
      <alignment vertical="center"/>
    </xf>
    <xf numFmtId="179" fontId="4" fillId="0" borderId="12" xfId="0" applyNumberFormat="1" applyFont="1" applyBorder="1" applyAlignment="1">
      <alignment horizontal="right" vertical="center"/>
    </xf>
    <xf numFmtId="178" fontId="4" fillId="0" borderId="42" xfId="0" applyNumberFormat="1" applyFont="1" applyBorder="1" applyAlignment="1">
      <alignment horizontal="right" vertical="center"/>
    </xf>
    <xf numFmtId="178" fontId="4" fillId="0" borderId="0" xfId="0" applyNumberFormat="1" applyFont="1" applyAlignment="1">
      <alignment horizontal="right" vertical="center"/>
    </xf>
    <xf numFmtId="0" fontId="4" fillId="0" borderId="6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179" fontId="9" fillId="0" borderId="59" xfId="0" applyNumberFormat="1" applyFont="1" applyBorder="1" applyAlignment="1">
      <alignment horizontal="right" vertical="center"/>
    </xf>
    <xf numFmtId="0" fontId="9" fillId="5" borderId="37" xfId="0" applyFont="1" applyFill="1" applyBorder="1" applyAlignment="1" applyProtection="1">
      <alignment horizontal="center" vertical="center"/>
      <protection locked="0"/>
    </xf>
    <xf numFmtId="0" fontId="9" fillId="5" borderId="39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標準" xfId="0" builtinId="0"/>
  </cellStyles>
  <dxfs count="74"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</dxf>
    <dxf>
      <font>
        <b/>
        <i val="0"/>
        <color theme="1"/>
      </font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theme="1"/>
      </font>
    </dxf>
    <dxf>
      <font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strike/>
        <color rgb="FFFF0000"/>
      </font>
      <fill>
        <patternFill>
          <bgColor rgb="FFFFFF00"/>
        </patternFill>
      </fill>
    </dxf>
    <dxf>
      <font>
        <strike/>
        <color rgb="FFFF0000"/>
      </font>
      <fill>
        <patternFill>
          <bgColor rgb="FFFFFF00"/>
        </patternFill>
      </fill>
    </dxf>
    <dxf>
      <font>
        <color theme="0"/>
      </font>
    </dxf>
    <dxf>
      <fill>
        <patternFill>
          <bgColor theme="0"/>
        </patternFill>
      </fill>
    </dxf>
    <dxf>
      <font>
        <color theme="1"/>
      </font>
    </dxf>
    <dxf>
      <font>
        <color theme="0"/>
      </font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/>
        <color rgb="FFFF0000"/>
      </font>
      <fill>
        <patternFill>
          <bgColor rgb="FFFFFF00"/>
        </patternFill>
      </fill>
    </dxf>
    <dxf>
      <font>
        <strike/>
        <color rgb="FFFF0000"/>
      </font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FAD50-BF77-4A1C-8028-34FF86EE25CE}">
  <dimension ref="A1:W106"/>
  <sheetViews>
    <sheetView zoomScale="70" zoomScaleNormal="70" workbookViewId="0">
      <selection activeCell="O58" sqref="O58"/>
    </sheetView>
  </sheetViews>
  <sheetFormatPr defaultRowHeight="18" x14ac:dyDescent="0.45"/>
  <cols>
    <col min="1" max="1" width="19.3984375" customWidth="1"/>
    <col min="2" max="2" width="14.09765625" customWidth="1"/>
    <col min="3" max="8" width="11.8984375" customWidth="1"/>
    <col min="9" max="9" width="13.09765625" customWidth="1"/>
    <col min="10" max="11" width="11.8984375" customWidth="1"/>
    <col min="13" max="13" width="14.19921875" customWidth="1"/>
    <col min="14" max="23" width="11.8984375" customWidth="1"/>
  </cols>
  <sheetData>
    <row r="1" spans="1:23" x14ac:dyDescent="0.45">
      <c r="A1" s="5" t="s">
        <v>51</v>
      </c>
      <c r="M1" t="s">
        <v>50</v>
      </c>
    </row>
    <row r="2" spans="1:23" x14ac:dyDescent="0.45">
      <c r="A2" s="3"/>
      <c r="B2" s="222" t="s">
        <v>44</v>
      </c>
      <c r="C2" s="223"/>
      <c r="D2" s="223"/>
      <c r="E2" s="223"/>
      <c r="F2" s="224"/>
      <c r="G2" s="222" t="s">
        <v>45</v>
      </c>
      <c r="H2" s="223"/>
      <c r="I2" s="223"/>
      <c r="J2" s="223"/>
      <c r="K2" s="224"/>
      <c r="M2" s="3"/>
      <c r="N2" s="222" t="s">
        <v>44</v>
      </c>
      <c r="O2" s="223"/>
      <c r="P2" s="223"/>
      <c r="Q2" s="223"/>
      <c r="R2" s="224"/>
      <c r="S2" s="222" t="s">
        <v>45</v>
      </c>
      <c r="T2" s="223"/>
      <c r="U2" s="223"/>
      <c r="V2" s="223"/>
      <c r="W2" s="224"/>
    </row>
    <row r="3" spans="1:23" x14ac:dyDescent="0.45">
      <c r="A3" s="4"/>
      <c r="B3" s="2" t="s">
        <v>1</v>
      </c>
      <c r="C3" s="16"/>
      <c r="D3" s="16"/>
      <c r="E3" s="16"/>
      <c r="F3" s="16"/>
      <c r="G3" s="2" t="s">
        <v>1</v>
      </c>
      <c r="H3" s="16"/>
      <c r="I3" s="16"/>
      <c r="J3" s="16"/>
      <c r="K3" s="16"/>
      <c r="M3" s="4"/>
      <c r="N3" s="2" t="s">
        <v>2</v>
      </c>
      <c r="O3" s="16"/>
      <c r="P3" s="16"/>
      <c r="Q3" s="16"/>
      <c r="R3" s="16"/>
      <c r="S3" s="2" t="s">
        <v>2</v>
      </c>
      <c r="T3" s="16"/>
      <c r="U3" s="16"/>
      <c r="V3" s="16"/>
      <c r="W3" s="16"/>
    </row>
    <row r="4" spans="1:23" x14ac:dyDescent="0.45">
      <c r="A4" s="1" t="s">
        <v>40</v>
      </c>
      <c r="B4" s="40">
        <v>280000</v>
      </c>
      <c r="C4" s="17"/>
      <c r="D4" s="17"/>
      <c r="E4" s="17"/>
      <c r="F4" s="17"/>
      <c r="G4" s="40">
        <v>260000</v>
      </c>
      <c r="H4" s="17"/>
      <c r="I4" s="17"/>
      <c r="J4" s="17"/>
      <c r="K4" s="17"/>
      <c r="M4" s="1" t="s">
        <v>40</v>
      </c>
      <c r="N4" s="40">
        <v>540000</v>
      </c>
      <c r="O4" s="17"/>
      <c r="P4" s="17"/>
      <c r="Q4" s="17"/>
      <c r="R4" s="17"/>
      <c r="S4" s="40">
        <v>700000</v>
      </c>
      <c r="T4" s="17"/>
      <c r="U4" s="17"/>
      <c r="V4" s="17"/>
      <c r="W4" s="17"/>
    </row>
    <row r="5" spans="1:23" x14ac:dyDescent="0.45">
      <c r="A5" s="1" t="s">
        <v>41</v>
      </c>
      <c r="B5" s="40">
        <v>170000</v>
      </c>
      <c r="C5" s="17"/>
      <c r="D5" s="17"/>
      <c r="E5" s="17"/>
      <c r="F5" s="17"/>
      <c r="G5" s="40">
        <v>250000</v>
      </c>
      <c r="H5" s="17"/>
      <c r="I5" s="17"/>
      <c r="J5" s="17"/>
      <c r="K5" s="17"/>
      <c r="M5" s="1" t="s">
        <v>41</v>
      </c>
      <c r="N5" s="40">
        <v>390000</v>
      </c>
      <c r="O5" s="17"/>
      <c r="P5" s="17"/>
      <c r="Q5" s="17"/>
      <c r="R5" s="17"/>
      <c r="S5" s="40">
        <v>620000</v>
      </c>
      <c r="T5" s="17"/>
      <c r="U5" s="17"/>
      <c r="V5" s="17"/>
      <c r="W5" s="17"/>
    </row>
    <row r="6" spans="1:23" x14ac:dyDescent="0.45">
      <c r="A6" s="1" t="s">
        <v>42</v>
      </c>
      <c r="B6" s="40">
        <v>80000</v>
      </c>
      <c r="C6" s="17"/>
      <c r="D6" s="17"/>
      <c r="E6" s="17"/>
      <c r="F6" s="17"/>
      <c r="G6" s="40">
        <v>130000</v>
      </c>
      <c r="H6" s="17"/>
      <c r="I6" s="17"/>
      <c r="J6" s="17"/>
      <c r="K6" s="17"/>
      <c r="M6" s="1" t="s">
        <v>42</v>
      </c>
      <c r="N6" s="40">
        <v>230000</v>
      </c>
      <c r="O6" s="17"/>
      <c r="P6" s="17"/>
      <c r="Q6" s="17"/>
      <c r="R6" s="17"/>
      <c r="S6" s="40">
        <v>700000</v>
      </c>
      <c r="T6" s="17"/>
      <c r="U6" s="17"/>
      <c r="V6" s="17"/>
      <c r="W6" s="17"/>
    </row>
    <row r="7" spans="1:23" x14ac:dyDescent="0.45">
      <c r="A7" s="1" t="s">
        <v>43</v>
      </c>
      <c r="B7" s="40">
        <v>70000</v>
      </c>
      <c r="C7" s="17"/>
      <c r="D7" s="17"/>
      <c r="E7" s="17"/>
      <c r="F7" s="17"/>
      <c r="G7" s="40">
        <v>160000</v>
      </c>
      <c r="H7" s="17"/>
      <c r="I7" s="17"/>
      <c r="J7" s="17"/>
      <c r="K7" s="17"/>
      <c r="M7" s="1" t="s">
        <v>43</v>
      </c>
      <c r="N7" s="40">
        <v>170000</v>
      </c>
      <c r="O7" s="17"/>
      <c r="P7" s="17"/>
      <c r="Q7" s="17"/>
      <c r="R7" s="17"/>
      <c r="S7" s="40">
        <v>590000</v>
      </c>
      <c r="T7" s="17"/>
      <c r="U7" s="17"/>
      <c r="V7" s="17"/>
      <c r="W7" s="17"/>
    </row>
    <row r="9" spans="1:23" x14ac:dyDescent="0.45">
      <c r="A9" s="6" t="s">
        <v>46</v>
      </c>
      <c r="B9" t="s">
        <v>16</v>
      </c>
      <c r="C9" t="s">
        <v>175</v>
      </c>
      <c r="M9" s="6" t="s">
        <v>46</v>
      </c>
      <c r="N9" t="s">
        <v>16</v>
      </c>
    </row>
    <row r="10" spans="1:23" x14ac:dyDescent="0.45">
      <c r="A10" s="5" t="s">
        <v>49</v>
      </c>
      <c r="M10" t="s">
        <v>50</v>
      </c>
    </row>
    <row r="11" spans="1:23" ht="18.600000000000001" thickBot="1" x14ac:dyDescent="0.5">
      <c r="A11" s="3"/>
      <c r="B11" s="222" t="s">
        <v>44</v>
      </c>
      <c r="C11" s="223"/>
      <c r="D11" s="223"/>
      <c r="E11" s="223"/>
      <c r="F11" s="224"/>
      <c r="G11" s="222" t="s">
        <v>45</v>
      </c>
      <c r="H11" s="223"/>
      <c r="I11" s="223"/>
      <c r="J11" s="223"/>
      <c r="K11" s="224"/>
      <c r="M11" s="3"/>
      <c r="N11" s="222" t="s">
        <v>44</v>
      </c>
      <c r="O11" s="223"/>
      <c r="P11" s="223"/>
      <c r="Q11" s="223"/>
      <c r="R11" s="224"/>
      <c r="S11" s="222" t="s">
        <v>45</v>
      </c>
      <c r="T11" s="223"/>
      <c r="U11" s="223"/>
      <c r="V11" s="223"/>
      <c r="W11" s="224"/>
    </row>
    <row r="12" spans="1:23" x14ac:dyDescent="0.45">
      <c r="A12" s="4"/>
      <c r="B12" s="8" t="s">
        <v>1</v>
      </c>
      <c r="C12" s="10" t="s">
        <v>83</v>
      </c>
      <c r="D12" s="13" t="s">
        <v>84</v>
      </c>
      <c r="E12" s="10" t="s">
        <v>83</v>
      </c>
      <c r="F12" s="19" t="s">
        <v>68</v>
      </c>
      <c r="G12" s="7" t="s">
        <v>1</v>
      </c>
      <c r="H12" s="10" t="s">
        <v>83</v>
      </c>
      <c r="I12" s="13" t="s">
        <v>84</v>
      </c>
      <c r="J12" s="10" t="s">
        <v>83</v>
      </c>
      <c r="K12" s="19" t="s">
        <v>68</v>
      </c>
      <c r="M12" s="4"/>
      <c r="N12" s="8" t="s">
        <v>2</v>
      </c>
      <c r="O12" s="10" t="s">
        <v>83</v>
      </c>
      <c r="P12" s="13" t="s">
        <v>84</v>
      </c>
      <c r="Q12" s="10" t="s">
        <v>83</v>
      </c>
      <c r="R12" s="19" t="s">
        <v>68</v>
      </c>
      <c r="S12" s="8" t="s">
        <v>2</v>
      </c>
      <c r="T12" s="10" t="s">
        <v>83</v>
      </c>
      <c r="U12" s="13" t="s">
        <v>84</v>
      </c>
      <c r="V12" s="10" t="s">
        <v>83</v>
      </c>
      <c r="W12" s="19" t="s">
        <v>68</v>
      </c>
    </row>
    <row r="13" spans="1:23" x14ac:dyDescent="0.45">
      <c r="A13" s="1" t="s">
        <v>40</v>
      </c>
      <c r="B13" s="9">
        <f>B4</f>
        <v>280000</v>
      </c>
      <c r="C13" s="11">
        <f>ROUNDUP(B13,-2)</f>
        <v>280000</v>
      </c>
      <c r="D13" s="14">
        <f>シミュレーションシート!C16</f>
        <v>0</v>
      </c>
      <c r="E13" s="11">
        <f>ROUNDUP(D13,-2)</f>
        <v>0</v>
      </c>
      <c r="F13" s="20">
        <f>IF(B13&gt;D13,E13,C13)</f>
        <v>0</v>
      </c>
      <c r="G13" s="14">
        <f>G4</f>
        <v>260000</v>
      </c>
      <c r="H13" s="11">
        <f>ROUNDUP(G13,-2)</f>
        <v>260000</v>
      </c>
      <c r="I13" s="14">
        <f>シミュレーションシート!C16</f>
        <v>0</v>
      </c>
      <c r="J13" s="11">
        <f>ROUNDUP(I13,-2)</f>
        <v>0</v>
      </c>
      <c r="K13" s="20">
        <f>IF(G13&gt;I13,J13,H13)</f>
        <v>0</v>
      </c>
      <c r="M13" s="1" t="s">
        <v>40</v>
      </c>
      <c r="N13" s="9">
        <f>N4</f>
        <v>540000</v>
      </c>
      <c r="O13" s="11">
        <f>ROUNDUP(N13,-2)</f>
        <v>540000</v>
      </c>
      <c r="P13" s="14">
        <f>シミュレーションシート!J22</f>
        <v>0</v>
      </c>
      <c r="Q13" s="11">
        <f>ROUNDUP(P13,-2)</f>
        <v>0</v>
      </c>
      <c r="R13" s="18">
        <f>IF(N13&gt;P13,Q13,O13)</f>
        <v>0</v>
      </c>
      <c r="S13" s="9">
        <f>S4</f>
        <v>700000</v>
      </c>
      <c r="T13" s="11">
        <f>ROUNDUP(S13,-2)</f>
        <v>700000</v>
      </c>
      <c r="U13" s="14">
        <f>シミュレーションシート!J22</f>
        <v>0</v>
      </c>
      <c r="V13" s="11">
        <f>ROUNDUP(U13,-2)</f>
        <v>0</v>
      </c>
      <c r="W13" s="18">
        <f>IF(S13&gt;U13,V13,T13)</f>
        <v>0</v>
      </c>
    </row>
    <row r="14" spans="1:23" x14ac:dyDescent="0.45">
      <c r="A14" s="1" t="s">
        <v>41</v>
      </c>
      <c r="B14" s="9">
        <f t="shared" ref="B14:B16" si="0">B5</f>
        <v>170000</v>
      </c>
      <c r="C14" s="11">
        <f>ROUNDUP(B14,-2)</f>
        <v>170000</v>
      </c>
      <c r="D14" s="14">
        <f>シミュレーションシート!C16</f>
        <v>0</v>
      </c>
      <c r="E14" s="11">
        <f>ROUNDUP(D14,-2)</f>
        <v>0</v>
      </c>
      <c r="F14" s="20">
        <f t="shared" ref="F14:F16" si="1">IF(B14&gt;D14,E14,C14)</f>
        <v>0</v>
      </c>
      <c r="G14" s="14">
        <f t="shared" ref="G14:G16" si="2">G5</f>
        <v>250000</v>
      </c>
      <c r="H14" s="11">
        <f>ROUNDUP(G14,-2)</f>
        <v>250000</v>
      </c>
      <c r="I14" s="14">
        <f>シミュレーションシート!C16</f>
        <v>0</v>
      </c>
      <c r="J14" s="11">
        <f>ROUNDUP(I14,-2)</f>
        <v>0</v>
      </c>
      <c r="K14" s="20">
        <f t="shared" ref="K14:K16" si="3">IF(G14&gt;I14,J14,H14)</f>
        <v>0</v>
      </c>
      <c r="M14" s="1" t="s">
        <v>41</v>
      </c>
      <c r="N14" s="9">
        <f t="shared" ref="N14:N16" si="4">N5</f>
        <v>390000</v>
      </c>
      <c r="O14" s="11">
        <f>ROUNDUP(N14,-2)</f>
        <v>390000</v>
      </c>
      <c r="P14" s="14">
        <f>シミュレーションシート!J22</f>
        <v>0</v>
      </c>
      <c r="Q14" s="11">
        <f>ROUNDUP(P14,-2)</f>
        <v>0</v>
      </c>
      <c r="R14" s="18">
        <f t="shared" ref="R14:R16" si="5">IF(N14&gt;P14,Q14,O14)</f>
        <v>0</v>
      </c>
      <c r="S14" s="9">
        <f t="shared" ref="S14:S16" si="6">S5</f>
        <v>620000</v>
      </c>
      <c r="T14" s="11">
        <f>ROUNDUP(S14,-2)</f>
        <v>620000</v>
      </c>
      <c r="U14" s="14">
        <f>シミュレーションシート!J22</f>
        <v>0</v>
      </c>
      <c r="V14" s="11">
        <f>ROUNDUP(U14,-2)</f>
        <v>0</v>
      </c>
      <c r="W14" s="18">
        <f t="shared" ref="W14:W16" si="7">IF(S14&gt;U14,V14,T14)</f>
        <v>0</v>
      </c>
    </row>
    <row r="15" spans="1:23" x14ac:dyDescent="0.45">
      <c r="A15" s="1" t="s">
        <v>42</v>
      </c>
      <c r="B15" s="9">
        <f t="shared" si="0"/>
        <v>80000</v>
      </c>
      <c r="C15" s="11">
        <f>ROUNDUP(B15,-2)</f>
        <v>80000</v>
      </c>
      <c r="D15" s="14">
        <f>シミュレーションシート!C16</f>
        <v>0</v>
      </c>
      <c r="E15" s="11">
        <f>ROUNDUP(D15,-2)</f>
        <v>0</v>
      </c>
      <c r="F15" s="20">
        <f t="shared" si="1"/>
        <v>0</v>
      </c>
      <c r="G15" s="14">
        <f t="shared" si="2"/>
        <v>130000</v>
      </c>
      <c r="H15" s="11">
        <f>ROUNDUP(G15,-2)</f>
        <v>130000</v>
      </c>
      <c r="I15" s="14">
        <f>シミュレーションシート!C16</f>
        <v>0</v>
      </c>
      <c r="J15" s="11">
        <f>ROUNDUP(I15,-2)</f>
        <v>0</v>
      </c>
      <c r="K15" s="20">
        <f t="shared" si="3"/>
        <v>0</v>
      </c>
      <c r="M15" s="1" t="s">
        <v>42</v>
      </c>
      <c r="N15" s="9">
        <f t="shared" si="4"/>
        <v>230000</v>
      </c>
      <c r="O15" s="11">
        <f>ROUNDUP(N15,-2)</f>
        <v>230000</v>
      </c>
      <c r="P15" s="14">
        <f>シミュレーションシート!J22</f>
        <v>0</v>
      </c>
      <c r="Q15" s="11">
        <f>ROUNDUP(P15,-2)</f>
        <v>0</v>
      </c>
      <c r="R15" s="18">
        <f t="shared" si="5"/>
        <v>0</v>
      </c>
      <c r="S15" s="9">
        <f t="shared" si="6"/>
        <v>700000</v>
      </c>
      <c r="T15" s="11">
        <f>ROUNDUP(S15,-2)</f>
        <v>700000</v>
      </c>
      <c r="U15" s="14">
        <f>シミュレーションシート!J22</f>
        <v>0</v>
      </c>
      <c r="V15" s="11">
        <f>ROUNDUP(U15,-2)</f>
        <v>0</v>
      </c>
      <c r="W15" s="18">
        <f t="shared" si="7"/>
        <v>0</v>
      </c>
    </row>
    <row r="16" spans="1:23" ht="18.600000000000001" thickBot="1" x14ac:dyDescent="0.5">
      <c r="A16" s="1" t="s">
        <v>43</v>
      </c>
      <c r="B16" s="9">
        <f t="shared" si="0"/>
        <v>70000</v>
      </c>
      <c r="C16" s="12">
        <f>ROUNDUP(B16,-2)</f>
        <v>70000</v>
      </c>
      <c r="D16" s="14">
        <f>シミュレーションシート!C16</f>
        <v>0</v>
      </c>
      <c r="E16" s="12">
        <f>ROUNDUP(D16,-2)</f>
        <v>0</v>
      </c>
      <c r="F16" s="20">
        <f t="shared" si="1"/>
        <v>0</v>
      </c>
      <c r="G16" s="14">
        <f t="shared" si="2"/>
        <v>160000</v>
      </c>
      <c r="H16" s="12">
        <f>ROUNDUP(G16,-2)</f>
        <v>160000</v>
      </c>
      <c r="I16" s="14">
        <f>シミュレーションシート!C16</f>
        <v>0</v>
      </c>
      <c r="J16" s="12">
        <f>ROUNDUP(I16,-2)</f>
        <v>0</v>
      </c>
      <c r="K16" s="20">
        <f t="shared" si="3"/>
        <v>0</v>
      </c>
      <c r="M16" s="1" t="s">
        <v>43</v>
      </c>
      <c r="N16" s="9">
        <f t="shared" si="4"/>
        <v>170000</v>
      </c>
      <c r="O16" s="12">
        <f>ROUNDUP(N16,-2)</f>
        <v>170000</v>
      </c>
      <c r="P16" s="14">
        <f>シミュレーションシート!J22</f>
        <v>0</v>
      </c>
      <c r="Q16" s="12">
        <f>ROUNDUP(P16,-2)</f>
        <v>0</v>
      </c>
      <c r="R16" s="18">
        <f t="shared" si="5"/>
        <v>0</v>
      </c>
      <c r="S16" s="9">
        <f t="shared" si="6"/>
        <v>590000</v>
      </c>
      <c r="T16" s="12">
        <f>ROUNDUP(S16,-2)</f>
        <v>590000</v>
      </c>
      <c r="U16" s="14">
        <f>シミュレーションシート!J22</f>
        <v>0</v>
      </c>
      <c r="V16" s="12">
        <f>ROUNDUP(U16,-2)</f>
        <v>0</v>
      </c>
      <c r="W16" s="18">
        <f t="shared" si="7"/>
        <v>0</v>
      </c>
    </row>
    <row r="18" spans="1:23" x14ac:dyDescent="0.45">
      <c r="A18" s="6" t="s">
        <v>47</v>
      </c>
      <c r="B18" t="s">
        <v>16</v>
      </c>
      <c r="C18" t="s">
        <v>176</v>
      </c>
      <c r="M18" s="6" t="s">
        <v>47</v>
      </c>
      <c r="N18" t="s">
        <v>16</v>
      </c>
    </row>
    <row r="19" spans="1:23" x14ac:dyDescent="0.45">
      <c r="A19" s="5" t="s">
        <v>49</v>
      </c>
      <c r="M19" t="s">
        <v>50</v>
      </c>
    </row>
    <row r="20" spans="1:23" ht="18.600000000000001" thickBot="1" x14ac:dyDescent="0.5">
      <c r="A20" s="3"/>
      <c r="B20" s="222" t="s">
        <v>44</v>
      </c>
      <c r="C20" s="223"/>
      <c r="D20" s="223"/>
      <c r="E20" s="223"/>
      <c r="F20" s="224"/>
      <c r="G20" s="222" t="s">
        <v>45</v>
      </c>
      <c r="H20" s="223"/>
      <c r="I20" s="223"/>
      <c r="J20" s="223"/>
      <c r="K20" s="224"/>
      <c r="M20" s="31"/>
      <c r="N20" s="225" t="s">
        <v>44</v>
      </c>
      <c r="O20" s="226"/>
      <c r="P20" s="225"/>
      <c r="Q20" s="226"/>
      <c r="R20" s="225"/>
      <c r="S20" s="223" t="s">
        <v>45</v>
      </c>
      <c r="T20" s="223"/>
      <c r="U20" s="223"/>
      <c r="V20" s="223"/>
      <c r="W20" s="224"/>
    </row>
    <row r="21" spans="1:23" x14ac:dyDescent="0.45">
      <c r="A21" s="4"/>
      <c r="B21" s="8" t="s">
        <v>1</v>
      </c>
      <c r="C21" s="10" t="s">
        <v>83</v>
      </c>
      <c r="D21" s="13" t="s">
        <v>84</v>
      </c>
      <c r="E21" s="10" t="s">
        <v>83</v>
      </c>
      <c r="F21" s="19" t="s">
        <v>68</v>
      </c>
      <c r="G21" s="7" t="s">
        <v>1</v>
      </c>
      <c r="H21" s="10" t="s">
        <v>83</v>
      </c>
      <c r="I21" s="13" t="s">
        <v>84</v>
      </c>
      <c r="J21" s="10" t="s">
        <v>83</v>
      </c>
      <c r="K21" s="19" t="s">
        <v>68</v>
      </c>
      <c r="M21" s="4"/>
      <c r="N21" s="32" t="s">
        <v>2</v>
      </c>
      <c r="O21" s="10" t="s">
        <v>83</v>
      </c>
      <c r="P21" s="33" t="s">
        <v>84</v>
      </c>
      <c r="Q21" s="10" t="s">
        <v>83</v>
      </c>
      <c r="R21" s="34" t="s">
        <v>68</v>
      </c>
      <c r="S21" s="8" t="s">
        <v>2</v>
      </c>
      <c r="T21" s="10" t="s">
        <v>83</v>
      </c>
      <c r="U21" s="13" t="s">
        <v>84</v>
      </c>
      <c r="V21" s="10" t="s">
        <v>83</v>
      </c>
      <c r="W21" s="19" t="s">
        <v>68</v>
      </c>
    </row>
    <row r="22" spans="1:23" x14ac:dyDescent="0.45">
      <c r="A22" s="1" t="s">
        <v>40</v>
      </c>
      <c r="B22" s="9">
        <f>B4*2/3</f>
        <v>186666.66666666666</v>
      </c>
      <c r="C22" s="11">
        <f>ROUNDUP(B22,-2)</f>
        <v>186700</v>
      </c>
      <c r="D22" s="14">
        <f>(シミュレーションシート!C16)*2/3</f>
        <v>0</v>
      </c>
      <c r="E22" s="11">
        <f>ROUNDUP(D22,-2)</f>
        <v>0</v>
      </c>
      <c r="F22" s="20">
        <f>IF(B22&gt;D22,E22,C22)</f>
        <v>0</v>
      </c>
      <c r="G22" s="14">
        <f>G4*2/3</f>
        <v>173333.33333333334</v>
      </c>
      <c r="H22" s="11">
        <f>ROUNDUP(G22,-2)</f>
        <v>173400</v>
      </c>
      <c r="I22" s="14">
        <f>(シミュレーションシート!C16)*2/3</f>
        <v>0</v>
      </c>
      <c r="J22" s="11">
        <f>ROUNDUP(I22,-2)</f>
        <v>0</v>
      </c>
      <c r="K22" s="20">
        <f>IF(G22&gt;I22,J22,H22)</f>
        <v>0</v>
      </c>
      <c r="M22" s="1" t="s">
        <v>40</v>
      </c>
      <c r="N22" s="9">
        <f>N4*2/3</f>
        <v>360000</v>
      </c>
      <c r="O22" s="11">
        <f>ROUNDUP(N22,-2)</f>
        <v>360000</v>
      </c>
      <c r="P22" s="14">
        <f>シミュレーションシート!J22*2/3</f>
        <v>0</v>
      </c>
      <c r="Q22" s="11">
        <f>ROUNDUP(P22,-2)</f>
        <v>0</v>
      </c>
      <c r="R22" s="18">
        <f>IF(N22&gt;P22,Q22,O22)</f>
        <v>0</v>
      </c>
      <c r="S22" s="9">
        <f>S4*2/3</f>
        <v>466666.66666666669</v>
      </c>
      <c r="T22" s="11">
        <f>ROUNDUP(S22,-2)</f>
        <v>466700</v>
      </c>
      <c r="U22" s="14">
        <f>シミュレーションシート!J22*2/3</f>
        <v>0</v>
      </c>
      <c r="V22" s="11">
        <f>ROUNDUP(U22,-2)</f>
        <v>0</v>
      </c>
      <c r="W22" s="18">
        <f>IF(S22&gt;U22,V22,T22)</f>
        <v>0</v>
      </c>
    </row>
    <row r="23" spans="1:23" x14ac:dyDescent="0.45">
      <c r="A23" s="1" t="s">
        <v>41</v>
      </c>
      <c r="B23" s="9">
        <f t="shared" ref="B23:B24" si="8">B5*2/3</f>
        <v>113333.33333333333</v>
      </c>
      <c r="C23" s="11">
        <f>ROUNDUP(B23,-2)</f>
        <v>113400</v>
      </c>
      <c r="D23" s="14">
        <f>(シミュレーションシート!C16)*2/3</f>
        <v>0</v>
      </c>
      <c r="E23" s="11">
        <f>ROUNDUP(D23,-2)</f>
        <v>0</v>
      </c>
      <c r="F23" s="20">
        <f t="shared" ref="F23:F25" si="9">IF(B23&gt;D23,E23,C23)</f>
        <v>0</v>
      </c>
      <c r="G23" s="14">
        <f t="shared" ref="G23:G25" si="10">G5*2/3</f>
        <v>166666.66666666666</v>
      </c>
      <c r="H23" s="11">
        <f>ROUNDUP(G23,-2)</f>
        <v>166700</v>
      </c>
      <c r="I23" s="14">
        <f>(シミュレーションシート!C16)*2/3</f>
        <v>0</v>
      </c>
      <c r="J23" s="11">
        <f>ROUNDUP(I23,-2)</f>
        <v>0</v>
      </c>
      <c r="K23" s="20">
        <f t="shared" ref="K23:K25" si="11">IF(G23&gt;I23,J23,H23)</f>
        <v>0</v>
      </c>
      <c r="M23" s="1" t="s">
        <v>41</v>
      </c>
      <c r="N23" s="9">
        <f t="shared" ref="N23:N25" si="12">N5*2/3</f>
        <v>260000</v>
      </c>
      <c r="O23" s="11">
        <f>ROUNDUP(N23,-2)</f>
        <v>260000</v>
      </c>
      <c r="P23" s="14">
        <f>シミュレーションシート!J22*2/3</f>
        <v>0</v>
      </c>
      <c r="Q23" s="11">
        <f>ROUNDUP(P23,-2)</f>
        <v>0</v>
      </c>
      <c r="R23" s="18">
        <f t="shared" ref="R23:R25" si="13">IF(N23&gt;P23,Q23,O23)</f>
        <v>0</v>
      </c>
      <c r="S23" s="9">
        <f t="shared" ref="S23:S25" si="14">S5*2/3</f>
        <v>413333.33333333331</v>
      </c>
      <c r="T23" s="11">
        <f>ROUNDUP(S23,-2)</f>
        <v>413400</v>
      </c>
      <c r="U23" s="14">
        <f>シミュレーションシート!J22*2/3</f>
        <v>0</v>
      </c>
      <c r="V23" s="11">
        <f>ROUNDUP(U23,-2)</f>
        <v>0</v>
      </c>
      <c r="W23" s="18">
        <f t="shared" ref="W23:W25" si="15">IF(S23&gt;U23,V23,T23)</f>
        <v>0</v>
      </c>
    </row>
    <row r="24" spans="1:23" x14ac:dyDescent="0.45">
      <c r="A24" s="1" t="s">
        <v>42</v>
      </c>
      <c r="B24" s="9">
        <f t="shared" si="8"/>
        <v>53333.333333333336</v>
      </c>
      <c r="C24" s="11">
        <f>ROUNDUP(B24,-2)</f>
        <v>53400</v>
      </c>
      <c r="D24" s="14">
        <f>(シミュレーションシート!C16)*2/3</f>
        <v>0</v>
      </c>
      <c r="E24" s="11">
        <f>ROUNDUP(D24,-2)</f>
        <v>0</v>
      </c>
      <c r="F24" s="20">
        <f t="shared" si="9"/>
        <v>0</v>
      </c>
      <c r="G24" s="14">
        <f t="shared" si="10"/>
        <v>86666.666666666672</v>
      </c>
      <c r="H24" s="11">
        <f>ROUNDUP(G24,-2)</f>
        <v>86700</v>
      </c>
      <c r="I24" s="14">
        <f>(シミュレーションシート!C16)*2/3</f>
        <v>0</v>
      </c>
      <c r="J24" s="11">
        <f>ROUNDUP(I24,-2)</f>
        <v>0</v>
      </c>
      <c r="K24" s="20">
        <f t="shared" si="11"/>
        <v>0</v>
      </c>
      <c r="M24" s="1" t="s">
        <v>42</v>
      </c>
      <c r="N24" s="9">
        <f t="shared" si="12"/>
        <v>153333.33333333334</v>
      </c>
      <c r="O24" s="11">
        <f>ROUNDUP(N24,-2)</f>
        <v>153400</v>
      </c>
      <c r="P24" s="14">
        <f>シミュレーションシート!J22*2/3</f>
        <v>0</v>
      </c>
      <c r="Q24" s="11">
        <f>ROUNDUP(P24,-2)</f>
        <v>0</v>
      </c>
      <c r="R24" s="18">
        <f t="shared" si="13"/>
        <v>0</v>
      </c>
      <c r="S24" s="9">
        <f t="shared" si="14"/>
        <v>466666.66666666669</v>
      </c>
      <c r="T24" s="11">
        <f>ROUNDUP(S24,-2)</f>
        <v>466700</v>
      </c>
      <c r="U24" s="14">
        <f>シミュレーションシート!J22*2/3</f>
        <v>0</v>
      </c>
      <c r="V24" s="11">
        <f>ROUNDUP(U24,-2)</f>
        <v>0</v>
      </c>
      <c r="W24" s="18">
        <f t="shared" si="15"/>
        <v>0</v>
      </c>
    </row>
    <row r="25" spans="1:23" ht="18.600000000000001" thickBot="1" x14ac:dyDescent="0.5">
      <c r="A25" s="1" t="s">
        <v>43</v>
      </c>
      <c r="B25" s="9">
        <f>B7*2/3</f>
        <v>46666.666666666664</v>
      </c>
      <c r="C25" s="12">
        <f>ROUNDUP(B25,-2)</f>
        <v>46700</v>
      </c>
      <c r="D25" s="14">
        <f>(シミュレーションシート!C16)*2/3</f>
        <v>0</v>
      </c>
      <c r="E25" s="12">
        <f>ROUNDUP(D25,-2)</f>
        <v>0</v>
      </c>
      <c r="F25" s="20">
        <f t="shared" si="9"/>
        <v>0</v>
      </c>
      <c r="G25" s="14">
        <f t="shared" si="10"/>
        <v>106666.66666666667</v>
      </c>
      <c r="H25" s="12">
        <f>ROUNDUP(G25,-2)</f>
        <v>106700</v>
      </c>
      <c r="I25" s="14">
        <f>(シミュレーションシート!C16)*2/3</f>
        <v>0</v>
      </c>
      <c r="J25" s="12">
        <f>ROUNDUP(I25,-2)</f>
        <v>0</v>
      </c>
      <c r="K25" s="20">
        <f t="shared" si="11"/>
        <v>0</v>
      </c>
      <c r="M25" s="1" t="s">
        <v>43</v>
      </c>
      <c r="N25" s="9">
        <f t="shared" si="12"/>
        <v>113333.33333333333</v>
      </c>
      <c r="O25" s="12">
        <f>ROUNDUP(N25,-2)</f>
        <v>113400</v>
      </c>
      <c r="P25" s="14">
        <f>シミュレーションシート!J22*2/3</f>
        <v>0</v>
      </c>
      <c r="Q25" s="12">
        <f>ROUNDUP(P25,-2)</f>
        <v>0</v>
      </c>
      <c r="R25" s="18">
        <f t="shared" si="13"/>
        <v>0</v>
      </c>
      <c r="S25" s="9">
        <f t="shared" si="14"/>
        <v>393333.33333333331</v>
      </c>
      <c r="T25" s="12">
        <f>ROUNDUP(S25,-2)</f>
        <v>393400</v>
      </c>
      <c r="U25" s="14">
        <f>シミュレーションシート!J22*2/3</f>
        <v>0</v>
      </c>
      <c r="V25" s="12">
        <f>ROUNDUP(U25,-2)</f>
        <v>0</v>
      </c>
      <c r="W25" s="18">
        <f t="shared" si="15"/>
        <v>0</v>
      </c>
    </row>
    <row r="27" spans="1:23" x14ac:dyDescent="0.45">
      <c r="A27" s="6" t="s">
        <v>48</v>
      </c>
      <c r="B27" t="s">
        <v>16</v>
      </c>
      <c r="C27" t="s">
        <v>177</v>
      </c>
      <c r="M27" s="6" t="s">
        <v>48</v>
      </c>
      <c r="N27" t="s">
        <v>16</v>
      </c>
    </row>
    <row r="28" spans="1:23" x14ac:dyDescent="0.45">
      <c r="A28" s="5" t="s">
        <v>49</v>
      </c>
      <c r="M28" t="s">
        <v>50</v>
      </c>
    </row>
    <row r="29" spans="1:23" ht="18.600000000000001" thickBot="1" x14ac:dyDescent="0.5">
      <c r="A29" s="3"/>
      <c r="B29" s="222" t="s">
        <v>44</v>
      </c>
      <c r="C29" s="223"/>
      <c r="D29" s="223"/>
      <c r="E29" s="223"/>
      <c r="F29" s="224"/>
      <c r="G29" s="222" t="s">
        <v>45</v>
      </c>
      <c r="H29" s="223"/>
      <c r="I29" s="223"/>
      <c r="J29" s="223"/>
      <c r="K29" s="224"/>
      <c r="M29" s="3"/>
      <c r="N29" s="222" t="s">
        <v>44</v>
      </c>
      <c r="O29" s="223"/>
      <c r="P29" s="223"/>
      <c r="Q29" s="223"/>
      <c r="R29" s="224"/>
      <c r="S29" s="222" t="s">
        <v>45</v>
      </c>
      <c r="T29" s="223"/>
      <c r="U29" s="223"/>
      <c r="V29" s="223"/>
      <c r="W29" s="224"/>
    </row>
    <row r="30" spans="1:23" x14ac:dyDescent="0.45">
      <c r="A30" s="4"/>
      <c r="B30" s="8" t="s">
        <v>1</v>
      </c>
      <c r="C30" s="10" t="s">
        <v>83</v>
      </c>
      <c r="D30" s="13" t="s">
        <v>84</v>
      </c>
      <c r="E30" s="10" t="s">
        <v>83</v>
      </c>
      <c r="F30" s="19" t="s">
        <v>68</v>
      </c>
      <c r="G30" s="7" t="s">
        <v>1</v>
      </c>
      <c r="H30" s="10" t="s">
        <v>83</v>
      </c>
      <c r="I30" s="13" t="s">
        <v>84</v>
      </c>
      <c r="J30" s="10" t="s">
        <v>83</v>
      </c>
      <c r="K30" s="19" t="s">
        <v>68</v>
      </c>
      <c r="M30" s="4"/>
      <c r="N30" s="8" t="s">
        <v>2</v>
      </c>
      <c r="O30" s="10" t="s">
        <v>83</v>
      </c>
      <c r="P30" s="13" t="s">
        <v>84</v>
      </c>
      <c r="Q30" s="10" t="s">
        <v>83</v>
      </c>
      <c r="R30" s="19" t="s">
        <v>68</v>
      </c>
      <c r="S30" s="8" t="s">
        <v>2</v>
      </c>
      <c r="T30" s="10" t="s">
        <v>83</v>
      </c>
      <c r="U30" s="13" t="s">
        <v>84</v>
      </c>
      <c r="V30" s="10" t="s">
        <v>83</v>
      </c>
      <c r="W30" s="19" t="s">
        <v>68</v>
      </c>
    </row>
    <row r="31" spans="1:23" x14ac:dyDescent="0.45">
      <c r="A31" s="1" t="s">
        <v>40</v>
      </c>
      <c r="B31" s="9">
        <f>B4*1/3</f>
        <v>93333.333333333328</v>
      </c>
      <c r="C31" s="11">
        <f>ROUNDUP(B31,-2)</f>
        <v>93400</v>
      </c>
      <c r="D31" s="14">
        <f>(シミュレーションシート!C16)*1/3</f>
        <v>0</v>
      </c>
      <c r="E31" s="11">
        <f>ROUNDUP(D31,-2)</f>
        <v>0</v>
      </c>
      <c r="F31" s="20">
        <f>IF(B31&gt;D31,E31,C31)</f>
        <v>0</v>
      </c>
      <c r="G31" s="14">
        <f>G4*1/3</f>
        <v>86666.666666666672</v>
      </c>
      <c r="H31" s="11">
        <f>ROUNDUP(G31,-2)</f>
        <v>86700</v>
      </c>
      <c r="I31" s="14">
        <f>(シミュレーションシート!C16)*1/3</f>
        <v>0</v>
      </c>
      <c r="J31" s="11">
        <f>ROUNDUP(I31,-2)</f>
        <v>0</v>
      </c>
      <c r="K31" s="20">
        <f>IF(G31&gt;I31,J31,H31)</f>
        <v>0</v>
      </c>
      <c r="M31" s="1" t="s">
        <v>40</v>
      </c>
      <c r="N31" s="9">
        <f>N4*1/3</f>
        <v>180000</v>
      </c>
      <c r="O31" s="11">
        <f>ROUNDUP(N31,-2)</f>
        <v>180000</v>
      </c>
      <c r="P31" s="14">
        <f>シミュレーションシート!J22*1/3</f>
        <v>0</v>
      </c>
      <c r="Q31" s="11">
        <f>ROUNDUP(P31,-2)</f>
        <v>0</v>
      </c>
      <c r="R31" s="18">
        <f>IF(N31&gt;P31,Q31,O31)</f>
        <v>0</v>
      </c>
      <c r="S31" s="9">
        <f>S4*1/3</f>
        <v>233333.33333333334</v>
      </c>
      <c r="T31" s="11">
        <f>ROUNDUP(S31,-2)</f>
        <v>233400</v>
      </c>
      <c r="U31" s="14">
        <f>シミュレーションシート!J22*1/3</f>
        <v>0</v>
      </c>
      <c r="V31" s="11">
        <f>ROUNDUP(U31,-2)</f>
        <v>0</v>
      </c>
      <c r="W31" s="20">
        <f>IF(S31&gt;U31,V31,T31)</f>
        <v>0</v>
      </c>
    </row>
    <row r="32" spans="1:23" x14ac:dyDescent="0.45">
      <c r="A32" s="1" t="s">
        <v>41</v>
      </c>
      <c r="B32" s="9">
        <f t="shared" ref="B32:B34" si="16">B5*1/3</f>
        <v>56666.666666666664</v>
      </c>
      <c r="C32" s="11">
        <f>ROUNDUP(B32,-2)</f>
        <v>56700</v>
      </c>
      <c r="D32" s="14">
        <f>(シミュレーションシート!C16)*1/3</f>
        <v>0</v>
      </c>
      <c r="E32" s="11">
        <f>ROUNDUP(D32,-2)</f>
        <v>0</v>
      </c>
      <c r="F32" s="20">
        <f t="shared" ref="F32:F34" si="17">IF(B32&gt;D32,E32,C32)</f>
        <v>0</v>
      </c>
      <c r="G32" s="14">
        <f t="shared" ref="G32:G34" si="18">G5*1/3</f>
        <v>83333.333333333328</v>
      </c>
      <c r="H32" s="11">
        <f>ROUNDUP(G32,-2)</f>
        <v>83400</v>
      </c>
      <c r="I32" s="14">
        <f>(シミュレーションシート!C16)*1/3</f>
        <v>0</v>
      </c>
      <c r="J32" s="11">
        <f>ROUNDUP(I32,-2)</f>
        <v>0</v>
      </c>
      <c r="K32" s="20">
        <f t="shared" ref="K32:K34" si="19">IF(G32&gt;I32,J32,H32)</f>
        <v>0</v>
      </c>
      <c r="M32" s="1" t="s">
        <v>41</v>
      </c>
      <c r="N32" s="9">
        <f t="shared" ref="N32:N34" si="20">N5*1/3</f>
        <v>130000</v>
      </c>
      <c r="O32" s="11">
        <f>ROUNDUP(N32,-2)</f>
        <v>130000</v>
      </c>
      <c r="P32" s="14">
        <f>シミュレーションシート!J22*1/3</f>
        <v>0</v>
      </c>
      <c r="Q32" s="11">
        <f>ROUNDUP(P32,-2)</f>
        <v>0</v>
      </c>
      <c r="R32" s="18">
        <f t="shared" ref="R32:R34" si="21">IF(N32&gt;P32,Q32,O32)</f>
        <v>0</v>
      </c>
      <c r="S32" s="9">
        <f t="shared" ref="S32:S34" si="22">S5*1/3</f>
        <v>206666.66666666666</v>
      </c>
      <c r="T32" s="11">
        <f>ROUNDUP(S32,-2)</f>
        <v>206700</v>
      </c>
      <c r="U32" s="14">
        <f>シミュレーションシート!J22*1/3</f>
        <v>0</v>
      </c>
      <c r="V32" s="11">
        <f>ROUNDUP(U32,-2)</f>
        <v>0</v>
      </c>
      <c r="W32" s="20">
        <f t="shared" ref="W32:W34" si="23">IF(S32&gt;U32,V32,T32)</f>
        <v>0</v>
      </c>
    </row>
    <row r="33" spans="1:23" x14ac:dyDescent="0.45">
      <c r="A33" s="1" t="s">
        <v>42</v>
      </c>
      <c r="B33" s="9">
        <f t="shared" si="16"/>
        <v>26666.666666666668</v>
      </c>
      <c r="C33" s="11">
        <f>ROUNDUP(B33,-2)</f>
        <v>26700</v>
      </c>
      <c r="D33" s="14">
        <f>(シミュレーションシート!C16)*1/3</f>
        <v>0</v>
      </c>
      <c r="E33" s="11">
        <f>ROUNDUP(D33,-2)</f>
        <v>0</v>
      </c>
      <c r="F33" s="20">
        <f t="shared" si="17"/>
        <v>0</v>
      </c>
      <c r="G33" s="14">
        <f t="shared" si="18"/>
        <v>43333.333333333336</v>
      </c>
      <c r="H33" s="11">
        <f>ROUNDUP(G33,-2)</f>
        <v>43400</v>
      </c>
      <c r="I33" s="14">
        <f>(シミュレーションシート!C16)*1/3</f>
        <v>0</v>
      </c>
      <c r="J33" s="11">
        <f>ROUNDUP(I33,-2)</f>
        <v>0</v>
      </c>
      <c r="K33" s="20">
        <f t="shared" si="19"/>
        <v>0</v>
      </c>
      <c r="M33" s="1" t="s">
        <v>42</v>
      </c>
      <c r="N33" s="9">
        <f t="shared" si="20"/>
        <v>76666.666666666672</v>
      </c>
      <c r="O33" s="11">
        <f>ROUNDUP(N33,-2)</f>
        <v>76700</v>
      </c>
      <c r="P33" s="14">
        <f>シミュレーションシート!J22*1/3</f>
        <v>0</v>
      </c>
      <c r="Q33" s="11">
        <f>ROUNDUP(P33,-2)</f>
        <v>0</v>
      </c>
      <c r="R33" s="18">
        <f t="shared" si="21"/>
        <v>0</v>
      </c>
      <c r="S33" s="9">
        <f t="shared" si="22"/>
        <v>233333.33333333334</v>
      </c>
      <c r="T33" s="11">
        <f>ROUNDUP(S33,-2)</f>
        <v>233400</v>
      </c>
      <c r="U33" s="14">
        <f>シミュレーションシート!J22*1/3</f>
        <v>0</v>
      </c>
      <c r="V33" s="11">
        <f>ROUNDUP(U33,-2)</f>
        <v>0</v>
      </c>
      <c r="W33" s="20">
        <f t="shared" si="23"/>
        <v>0</v>
      </c>
    </row>
    <row r="34" spans="1:23" ht="18.600000000000001" thickBot="1" x14ac:dyDescent="0.5">
      <c r="A34" s="1" t="s">
        <v>43</v>
      </c>
      <c r="B34" s="9">
        <f t="shared" si="16"/>
        <v>23333.333333333332</v>
      </c>
      <c r="C34" s="12">
        <f>ROUNDUP(B34,-2)</f>
        <v>23400</v>
      </c>
      <c r="D34" s="14">
        <f>(シミュレーションシート!C16)*1/3</f>
        <v>0</v>
      </c>
      <c r="E34" s="12">
        <f>ROUNDUP(D34,-2)</f>
        <v>0</v>
      </c>
      <c r="F34" s="20">
        <f t="shared" si="17"/>
        <v>0</v>
      </c>
      <c r="G34" s="14">
        <f t="shared" si="18"/>
        <v>53333.333333333336</v>
      </c>
      <c r="H34" s="12">
        <f>ROUNDUP(G34,-2)</f>
        <v>53400</v>
      </c>
      <c r="I34" s="14">
        <f>(シミュレーションシート!C16)*1/3</f>
        <v>0</v>
      </c>
      <c r="J34" s="12">
        <f>ROUNDUP(I34,-2)</f>
        <v>0</v>
      </c>
      <c r="K34" s="20">
        <f t="shared" si="19"/>
        <v>0</v>
      </c>
      <c r="M34" s="1" t="s">
        <v>43</v>
      </c>
      <c r="N34" s="9">
        <f t="shared" si="20"/>
        <v>56666.666666666664</v>
      </c>
      <c r="O34" s="12">
        <f>ROUNDUP(N34,-2)</f>
        <v>56700</v>
      </c>
      <c r="P34" s="14">
        <f>シミュレーションシート!J22*1/3</f>
        <v>0</v>
      </c>
      <c r="Q34" s="12">
        <f>ROUNDUP(P34,-2)</f>
        <v>0</v>
      </c>
      <c r="R34" s="18">
        <f t="shared" si="21"/>
        <v>0</v>
      </c>
      <c r="S34" s="9">
        <f t="shared" si="22"/>
        <v>196666.66666666666</v>
      </c>
      <c r="T34" s="12">
        <f>ROUNDUP(S34,-2)</f>
        <v>196700</v>
      </c>
      <c r="U34" s="14">
        <f>シミュレーションシート!J22*1/3</f>
        <v>0</v>
      </c>
      <c r="V34" s="12">
        <f>ROUNDUP(U34,-2)</f>
        <v>0</v>
      </c>
      <c r="W34" s="20">
        <f t="shared" si="23"/>
        <v>0</v>
      </c>
    </row>
    <row r="36" spans="1:23" x14ac:dyDescent="0.45">
      <c r="A36" s="108" t="s">
        <v>173</v>
      </c>
      <c r="B36" s="52" t="s">
        <v>16</v>
      </c>
      <c r="C36" s="52" t="s">
        <v>178</v>
      </c>
      <c r="M36" s="6" t="s">
        <v>173</v>
      </c>
      <c r="N36" t="s">
        <v>16</v>
      </c>
    </row>
    <row r="37" spans="1:23" x14ac:dyDescent="0.45">
      <c r="A37" s="5" t="s">
        <v>49</v>
      </c>
      <c r="M37" t="s">
        <v>50</v>
      </c>
    </row>
    <row r="38" spans="1:23" ht="18.600000000000001" thickBot="1" x14ac:dyDescent="0.5">
      <c r="A38" s="3"/>
      <c r="B38" s="222" t="s">
        <v>44</v>
      </c>
      <c r="C38" s="223"/>
      <c r="D38" s="223"/>
      <c r="E38" s="223"/>
      <c r="F38" s="224"/>
      <c r="G38" s="222" t="s">
        <v>45</v>
      </c>
      <c r="H38" s="223"/>
      <c r="I38" s="223"/>
      <c r="J38" s="223"/>
      <c r="K38" s="224"/>
      <c r="M38" s="3"/>
      <c r="N38" s="222" t="s">
        <v>44</v>
      </c>
      <c r="O38" s="223"/>
      <c r="P38" s="223"/>
      <c r="Q38" s="223"/>
      <c r="R38" s="224"/>
      <c r="S38" s="222" t="s">
        <v>45</v>
      </c>
      <c r="T38" s="223"/>
      <c r="U38" s="223"/>
      <c r="V38" s="223"/>
      <c r="W38" s="224"/>
    </row>
    <row r="39" spans="1:23" x14ac:dyDescent="0.45">
      <c r="A39" s="4"/>
      <c r="B39" s="8" t="s">
        <v>1</v>
      </c>
      <c r="C39" s="10" t="s">
        <v>83</v>
      </c>
      <c r="D39" s="13" t="s">
        <v>84</v>
      </c>
      <c r="E39" s="10" t="s">
        <v>83</v>
      </c>
      <c r="F39" s="19" t="s">
        <v>68</v>
      </c>
      <c r="G39" s="7" t="s">
        <v>1</v>
      </c>
      <c r="H39" s="10" t="s">
        <v>83</v>
      </c>
      <c r="I39" s="13" t="s">
        <v>84</v>
      </c>
      <c r="J39" s="10" t="s">
        <v>83</v>
      </c>
      <c r="K39" s="19" t="s">
        <v>68</v>
      </c>
      <c r="M39" s="4"/>
      <c r="N39" s="8" t="s">
        <v>2</v>
      </c>
      <c r="O39" s="10" t="s">
        <v>83</v>
      </c>
      <c r="P39" s="13" t="s">
        <v>84</v>
      </c>
      <c r="Q39" s="10" t="s">
        <v>83</v>
      </c>
      <c r="R39" s="19" t="s">
        <v>68</v>
      </c>
      <c r="S39" s="8" t="s">
        <v>2</v>
      </c>
      <c r="T39" s="10" t="s">
        <v>83</v>
      </c>
      <c r="U39" s="13" t="s">
        <v>84</v>
      </c>
      <c r="V39" s="10" t="s">
        <v>83</v>
      </c>
      <c r="W39" s="19" t="s">
        <v>68</v>
      </c>
    </row>
    <row r="40" spans="1:23" x14ac:dyDescent="0.45">
      <c r="A40" s="1" t="s">
        <v>40</v>
      </c>
      <c r="B40" s="9">
        <f>B4</f>
        <v>280000</v>
      </c>
      <c r="C40" s="11">
        <f>ROUNDUP(B40,-2)</f>
        <v>280000</v>
      </c>
      <c r="D40" s="14">
        <f>シミュレーションシート!C16</f>
        <v>0</v>
      </c>
      <c r="E40" s="11">
        <f>ROUNDUP(D40,-2)</f>
        <v>0</v>
      </c>
      <c r="F40" s="20">
        <f>IF(B40&gt;D40,E40,C40)</f>
        <v>0</v>
      </c>
      <c r="G40" s="14">
        <f>G4</f>
        <v>260000</v>
      </c>
      <c r="H40" s="11">
        <f>ROUNDUP(G40,-2)</f>
        <v>260000</v>
      </c>
      <c r="I40" s="14">
        <f>シミュレーションシート!C16</f>
        <v>0</v>
      </c>
      <c r="J40" s="11">
        <f>ROUNDUP(I40,-2)</f>
        <v>0</v>
      </c>
      <c r="K40" s="20">
        <f>IF(G40&gt;I40,J40,H40)</f>
        <v>0</v>
      </c>
      <c r="M40" s="1" t="s">
        <v>40</v>
      </c>
      <c r="N40" s="9">
        <f>N4</f>
        <v>540000</v>
      </c>
      <c r="O40" s="11">
        <f>ROUNDUP(N40,-2)</f>
        <v>540000</v>
      </c>
      <c r="P40" s="14">
        <f>シミュレーションシート!J22</f>
        <v>0</v>
      </c>
      <c r="Q40" s="11">
        <f>ROUNDUP(P40,-2)</f>
        <v>0</v>
      </c>
      <c r="R40" s="18">
        <f>IF(N40&gt;P40,Q40,O40)</f>
        <v>0</v>
      </c>
      <c r="S40" s="9">
        <f>S4</f>
        <v>700000</v>
      </c>
      <c r="T40" s="11">
        <f>ROUNDUP(S40,-2)</f>
        <v>700000</v>
      </c>
      <c r="U40" s="14">
        <f>シミュレーションシート!J22</f>
        <v>0</v>
      </c>
      <c r="V40" s="11">
        <f>ROUNDUP(U40,-2)</f>
        <v>0</v>
      </c>
      <c r="W40" s="20">
        <f>IF(S40&gt;U40,V40,T40)</f>
        <v>0</v>
      </c>
    </row>
    <row r="41" spans="1:23" x14ac:dyDescent="0.45">
      <c r="A41" s="1" t="s">
        <v>41</v>
      </c>
      <c r="B41" s="9">
        <f>B5</f>
        <v>170000</v>
      </c>
      <c r="C41" s="11">
        <f>ROUNDUP(B41,-2)</f>
        <v>170000</v>
      </c>
      <c r="D41" s="14">
        <f>シミュレーションシート!C16</f>
        <v>0</v>
      </c>
      <c r="E41" s="11">
        <f>ROUNDUP(D41,-2)</f>
        <v>0</v>
      </c>
      <c r="F41" s="20">
        <f t="shared" ref="F41:F43" si="24">IF(B41&gt;D41,E41,C41)</f>
        <v>0</v>
      </c>
      <c r="G41" s="14">
        <f>G5</f>
        <v>250000</v>
      </c>
      <c r="H41" s="11">
        <f>ROUNDUP(G41,-2)</f>
        <v>250000</v>
      </c>
      <c r="I41" s="14">
        <f>シミュレーションシート!C16</f>
        <v>0</v>
      </c>
      <c r="J41" s="11">
        <f>ROUNDUP(I41,-2)</f>
        <v>0</v>
      </c>
      <c r="K41" s="20">
        <f t="shared" ref="K41:K43" si="25">IF(G41&gt;I41,J41,H41)</f>
        <v>0</v>
      </c>
      <c r="M41" s="1" t="s">
        <v>41</v>
      </c>
      <c r="N41" s="9">
        <f>N5</f>
        <v>390000</v>
      </c>
      <c r="O41" s="11">
        <f>ROUNDUP(N41,-2)</f>
        <v>390000</v>
      </c>
      <c r="P41" s="14">
        <f>シミュレーションシート!J22</f>
        <v>0</v>
      </c>
      <c r="Q41" s="11">
        <f>ROUNDUP(P41,-2)</f>
        <v>0</v>
      </c>
      <c r="R41" s="18">
        <f t="shared" ref="R41:R43" si="26">IF(N41&gt;P41,Q41,O41)</f>
        <v>0</v>
      </c>
      <c r="S41" s="9">
        <f>S5</f>
        <v>620000</v>
      </c>
      <c r="T41" s="11">
        <f>ROUNDUP(S41,-2)</f>
        <v>620000</v>
      </c>
      <c r="U41" s="14">
        <f>シミュレーションシート!J22</f>
        <v>0</v>
      </c>
      <c r="V41" s="11">
        <f>ROUNDUP(U41,-2)</f>
        <v>0</v>
      </c>
      <c r="W41" s="20">
        <f t="shared" ref="W41:W43" si="27">IF(S41&gt;U41,V41,T41)</f>
        <v>0</v>
      </c>
    </row>
    <row r="42" spans="1:23" x14ac:dyDescent="0.45">
      <c r="A42" s="1" t="s">
        <v>42</v>
      </c>
      <c r="B42" s="9">
        <f>B6</f>
        <v>80000</v>
      </c>
      <c r="C42" s="11">
        <f>ROUNDUP(B42,-2)</f>
        <v>80000</v>
      </c>
      <c r="D42" s="14">
        <f>シミュレーションシート!C16</f>
        <v>0</v>
      </c>
      <c r="E42" s="11">
        <f>ROUNDUP(D42,-2)</f>
        <v>0</v>
      </c>
      <c r="F42" s="20">
        <f t="shared" si="24"/>
        <v>0</v>
      </c>
      <c r="G42" s="14">
        <f>G6</f>
        <v>130000</v>
      </c>
      <c r="H42" s="11">
        <f>ROUNDUP(G42,-2)</f>
        <v>130000</v>
      </c>
      <c r="I42" s="14">
        <f>シミュレーションシート!C16</f>
        <v>0</v>
      </c>
      <c r="J42" s="11">
        <f>ROUNDUP(I42,-2)</f>
        <v>0</v>
      </c>
      <c r="K42" s="20">
        <f t="shared" si="25"/>
        <v>0</v>
      </c>
      <c r="M42" s="1" t="s">
        <v>42</v>
      </c>
      <c r="N42" s="9">
        <f>N6</f>
        <v>230000</v>
      </c>
      <c r="O42" s="11">
        <f>ROUNDUP(N42,-2)</f>
        <v>230000</v>
      </c>
      <c r="P42" s="14">
        <f>シミュレーションシート!J22</f>
        <v>0</v>
      </c>
      <c r="Q42" s="11">
        <f>ROUNDUP(P42,-2)</f>
        <v>0</v>
      </c>
      <c r="R42" s="18">
        <f t="shared" si="26"/>
        <v>0</v>
      </c>
      <c r="S42" s="9">
        <f>S6</f>
        <v>700000</v>
      </c>
      <c r="T42" s="11">
        <f>ROUNDUP(S42,-2)</f>
        <v>700000</v>
      </c>
      <c r="U42" s="14">
        <f>シミュレーションシート!J22</f>
        <v>0</v>
      </c>
      <c r="V42" s="11">
        <f>ROUNDUP(U42,-2)</f>
        <v>0</v>
      </c>
      <c r="W42" s="20">
        <f t="shared" si="27"/>
        <v>0</v>
      </c>
    </row>
    <row r="43" spans="1:23" ht="18.600000000000001" thickBot="1" x14ac:dyDescent="0.5">
      <c r="A43" s="1" t="s">
        <v>43</v>
      </c>
      <c r="B43" s="9">
        <f>B7</f>
        <v>70000</v>
      </c>
      <c r="C43" s="12">
        <f>ROUNDUP(B43,-2)</f>
        <v>70000</v>
      </c>
      <c r="D43" s="14">
        <f>シミュレーションシート!C16</f>
        <v>0</v>
      </c>
      <c r="E43" s="12">
        <f>ROUNDUP(D43,-2)</f>
        <v>0</v>
      </c>
      <c r="F43" s="20">
        <f t="shared" si="24"/>
        <v>0</v>
      </c>
      <c r="G43" s="14">
        <f>G7</f>
        <v>160000</v>
      </c>
      <c r="H43" s="12">
        <f>ROUNDUP(G43,-2)</f>
        <v>160000</v>
      </c>
      <c r="I43" s="14">
        <f>シミュレーションシート!C16</f>
        <v>0</v>
      </c>
      <c r="J43" s="12">
        <f>ROUNDUP(I43,-2)</f>
        <v>0</v>
      </c>
      <c r="K43" s="20">
        <f t="shared" si="25"/>
        <v>0</v>
      </c>
      <c r="M43" s="1" t="s">
        <v>43</v>
      </c>
      <c r="N43" s="9">
        <f>N7</f>
        <v>170000</v>
      </c>
      <c r="O43" s="12">
        <f>ROUNDUP(N43,-2)</f>
        <v>170000</v>
      </c>
      <c r="P43" s="14">
        <f>シミュレーションシート!J22</f>
        <v>0</v>
      </c>
      <c r="Q43" s="12">
        <f>ROUNDUP(P43,-2)</f>
        <v>0</v>
      </c>
      <c r="R43" s="18">
        <f t="shared" si="26"/>
        <v>0</v>
      </c>
      <c r="S43" s="9">
        <f>S7</f>
        <v>590000</v>
      </c>
      <c r="T43" s="12">
        <f>ROUNDUP(S43,-2)</f>
        <v>590000</v>
      </c>
      <c r="U43" s="14">
        <f>シミュレーションシート!J22</f>
        <v>0</v>
      </c>
      <c r="V43" s="12">
        <f>ROUNDUP(U43,-2)</f>
        <v>0</v>
      </c>
      <c r="W43" s="20">
        <f t="shared" si="27"/>
        <v>0</v>
      </c>
    </row>
    <row r="46" spans="1:23" x14ac:dyDescent="0.45">
      <c r="A46" t="s">
        <v>61</v>
      </c>
    </row>
    <row r="47" spans="1:23" x14ac:dyDescent="0.45">
      <c r="A47" t="s">
        <v>64</v>
      </c>
      <c r="E47" t="s">
        <v>129</v>
      </c>
      <c r="I47" t="s">
        <v>119</v>
      </c>
    </row>
    <row r="48" spans="1:23" ht="36" x14ac:dyDescent="0.45">
      <c r="A48" s="1"/>
      <c r="B48" s="1" t="s">
        <v>63</v>
      </c>
      <c r="C48" s="1" t="s">
        <v>101</v>
      </c>
      <c r="E48" s="1" t="s">
        <v>123</v>
      </c>
      <c r="F48" s="1" t="s">
        <v>118</v>
      </c>
      <c r="G48" s="1" t="s">
        <v>117</v>
      </c>
      <c r="I48" s="1" t="s">
        <v>123</v>
      </c>
      <c r="J48" s="51" t="s">
        <v>131</v>
      </c>
      <c r="K48" s="51" t="s">
        <v>132</v>
      </c>
      <c r="L48" s="1" t="s">
        <v>118</v>
      </c>
      <c r="M48" s="1" t="s">
        <v>117</v>
      </c>
    </row>
    <row r="49" spans="1:19" x14ac:dyDescent="0.45">
      <c r="A49" s="3" t="s">
        <v>55</v>
      </c>
      <c r="B49" s="3" t="str">
        <f>CONCATENATE(シミュレーションシート!J10,シミュレーションシート!L10)</f>
        <v/>
      </c>
      <c r="C49" s="36" t="e">
        <f>DATEVALUE(B49)</f>
        <v>#VALUE!</v>
      </c>
      <c r="E49" s="1" t="s">
        <v>124</v>
      </c>
      <c r="F49" s="1" t="e">
        <f>IF(AND(AND(G50="",シミュレーションシート!J11=4),データシート!C51&lt;48),"誤","")</f>
        <v>#VALUE!</v>
      </c>
      <c r="G49" s="1" t="str">
        <f>IF(OR(OR(シミュレーションシート!L12="",シミュレーションシート!J12=""),シミュレーションシート!J11=""),"",F49)</f>
        <v/>
      </c>
      <c r="I49" s="1" t="s">
        <v>124</v>
      </c>
      <c r="J49" s="15">
        <f>DATE(YEAR(J52)-3,MONTH(J52),DAY(J52))</f>
        <v>45017</v>
      </c>
      <c r="K49" s="15">
        <f>DATE(YEAR(K52)-3,MONTH(K52),DAY(K52))</f>
        <v>44835</v>
      </c>
      <c r="L49" s="1" t="e">
        <f>IF(AND(AND(M50="",シミュレーションシート!J11=4),OR(データシート!C49&lt;データシート!K49,C49&gt;=K50)),"誤","")</f>
        <v>#VALUE!</v>
      </c>
      <c r="M49" s="1" t="str">
        <f>IF(OR(OR(シミュレーションシート!J10="",シミュレーションシート!L10=""),シミュレーションシート!J11=""),"",L49)</f>
        <v/>
      </c>
    </row>
    <row r="50" spans="1:19" x14ac:dyDescent="0.45">
      <c r="A50" s="1" t="s">
        <v>62</v>
      </c>
      <c r="B50" s="1" t="str">
        <f>CONCATENATE(シミュレーションシート!J13,シミュレーションシート!L13)</f>
        <v/>
      </c>
      <c r="C50" s="15" t="e">
        <f>EDATE(EDATE(C49,C51),-1)</f>
        <v>#VALUE!</v>
      </c>
      <c r="E50" s="1" t="s">
        <v>122</v>
      </c>
      <c r="F50" s="1" t="e">
        <f>IF(AND(AND(G51="",シミュレーションシート!J11=3),データシート!C51&lt;36),"誤","")</f>
        <v>#VALUE!</v>
      </c>
      <c r="G50" s="1" t="str">
        <f>IF(OR(OR(シミュレーションシート!L12="",シミュレーションシート!J12=""),シミュレーションシート!J11=""),"",F50)</f>
        <v/>
      </c>
      <c r="I50" s="1" t="s">
        <v>122</v>
      </c>
      <c r="J50" s="15">
        <f>DATE(YEAR(J52)-2,MONTH(J52),DAY(J52))</f>
        <v>45383</v>
      </c>
      <c r="K50" s="15">
        <f>DATE(YEAR(K52)-2,MONTH(K52),DAY(K52))</f>
        <v>45200</v>
      </c>
      <c r="L50" s="1" t="e">
        <f>IF(AND(AND(M51="",シミュレーションシート!J11=3),OR(データシート!C49&lt;データシート!K50,C49&gt;=K51)),"誤","")</f>
        <v>#VALUE!</v>
      </c>
      <c r="M50" s="1" t="str">
        <f>IF(OR(OR(シミュレーションシート!J10="",シミュレーションシート!L10=""),シミュレーションシート!J11=""),"",L50)</f>
        <v/>
      </c>
    </row>
    <row r="51" spans="1:19" x14ac:dyDescent="0.45">
      <c r="A51" s="15" t="s">
        <v>102</v>
      </c>
      <c r="B51" s="1" t="str">
        <f>CONCATENATE(シミュレーションシート!J12,シミュレーションシート!L12)</f>
        <v>2年</v>
      </c>
      <c r="C51" s="1" t="e">
        <f>LEFT(B51,FIND("年",B51)-1)*12+MID(B51,FIND("年",B51)+1,LEN(B51)-FIND("年",B51)-2)*1</f>
        <v>#VALUE!</v>
      </c>
      <c r="E51" s="3" t="s">
        <v>121</v>
      </c>
      <c r="F51" s="3" t="e">
        <f>IF(AND(AND(G52="",シミュレーションシート!J11=2),データシート!C51&lt;24),"誤","")</f>
        <v>#VALUE!</v>
      </c>
      <c r="G51" s="3" t="str">
        <f>IF(OR(OR(シミュレーションシート!L12="",シミュレーションシート!J12=""),シミュレーションシート!J11=""),"",F51)</f>
        <v/>
      </c>
      <c r="I51" s="3" t="s">
        <v>121</v>
      </c>
      <c r="J51" s="36">
        <f>DATE(YEAR(J52)-1,MONTH(J52),DAY(J52))</f>
        <v>45748</v>
      </c>
      <c r="K51" s="36">
        <f>DATE(YEAR(K52)-1,MONTH(K52),DAY(K52))</f>
        <v>45566</v>
      </c>
      <c r="L51" s="3" t="e">
        <f>IF(AND(AND(M52="",シミュレーションシート!J11=2),OR(データシート!C49&lt;データシート!K51,C49&gt;=K52)),"誤","")</f>
        <v>#VALUE!</v>
      </c>
      <c r="M51" s="3" t="str">
        <f>IF(OR(OR(シミュレーションシート!J10="",シミュレーションシート!L10=""),シミュレーションシート!J11=""),"",L51)</f>
        <v/>
      </c>
    </row>
    <row r="52" spans="1:19" ht="18.600000000000001" thickBot="1" x14ac:dyDescent="0.5">
      <c r="A52" s="35"/>
      <c r="E52" s="39" t="s">
        <v>120</v>
      </c>
      <c r="F52" s="39" t="e">
        <f>IF(AND(シミュレーションシート!J11=1,データシート!C51&lt;12),"誤","")</f>
        <v>#VALUE!</v>
      </c>
      <c r="G52" s="39" t="str">
        <f>IF(OR(OR(シミュレーションシート!L12="",シミュレーションシート!J12=""),シミュレーションシート!J11=""),"",F52)</f>
        <v/>
      </c>
      <c r="I52" s="39" t="s">
        <v>120</v>
      </c>
      <c r="J52" s="42">
        <f>DATEVALUE(CONCATENATE(P59,J53))</f>
        <v>46113</v>
      </c>
      <c r="K52" s="42">
        <f>IF(O59=10,DATEVALUE(CONCATENATE(P59,K53)),DATEVALUE(CONCATENATE(CONCATENATE(N59-1,N58),K53)))-K54</f>
        <v>45931</v>
      </c>
      <c r="L52" s="39" t="e">
        <f>IF(AND(シミュレーションシート!J11=1,データシート!C49&lt;データシート!K52),"誤","")</f>
        <v>#VALUE!</v>
      </c>
      <c r="M52" s="39" t="str">
        <f>IF(OR(OR(シミュレーションシート!J10="",シミュレーションシート!L10=""),シミュレーションシート!J11=""),"",L52)</f>
        <v/>
      </c>
      <c r="O52" s="35"/>
    </row>
    <row r="53" spans="1:19" ht="18.600000000000001" thickTop="1" x14ac:dyDescent="0.45">
      <c r="A53" s="35"/>
      <c r="E53" s="4"/>
      <c r="F53" s="4"/>
      <c r="G53" s="4">
        <f>COUNTIF(G49:G52,"誤")</f>
        <v>0</v>
      </c>
      <c r="I53" s="4"/>
      <c r="J53" s="48" t="s">
        <v>154</v>
      </c>
      <c r="K53" s="48" t="s">
        <v>168</v>
      </c>
      <c r="L53" s="4"/>
      <c r="M53" s="4">
        <f>COUNTIF(M49:M52,"誤")</f>
        <v>0</v>
      </c>
      <c r="P53" s="35"/>
    </row>
    <row r="54" spans="1:19" x14ac:dyDescent="0.45">
      <c r="E54" s="35"/>
      <c r="K54">
        <f>IF(O59=4,0,365)</f>
        <v>0</v>
      </c>
      <c r="L54" t="s">
        <v>172</v>
      </c>
    </row>
    <row r="55" spans="1:19" x14ac:dyDescent="0.45">
      <c r="A55" t="s">
        <v>130</v>
      </c>
      <c r="B55" s="35">
        <f>O57</f>
        <v>46113</v>
      </c>
    </row>
    <row r="57" spans="1:19" x14ac:dyDescent="0.45">
      <c r="A57" t="s">
        <v>111</v>
      </c>
      <c r="E57" t="s">
        <v>116</v>
      </c>
      <c r="I57" t="s">
        <v>126</v>
      </c>
      <c r="M57" t="s">
        <v>133</v>
      </c>
      <c r="O57" s="41">
        <v>46113</v>
      </c>
      <c r="P57" t="s">
        <v>134</v>
      </c>
    </row>
    <row r="58" spans="1:19" x14ac:dyDescent="0.45">
      <c r="A58" s="1"/>
      <c r="B58" s="1" t="s">
        <v>63</v>
      </c>
      <c r="C58" s="1" t="s">
        <v>101</v>
      </c>
      <c r="E58" s="1"/>
      <c r="F58" s="38" t="s">
        <v>118</v>
      </c>
      <c r="G58" s="1" t="s">
        <v>117</v>
      </c>
      <c r="I58" s="1"/>
      <c r="J58" s="1" t="s">
        <v>118</v>
      </c>
      <c r="K58" s="1" t="s">
        <v>117</v>
      </c>
      <c r="M58" s="1"/>
      <c r="N58" s="1" t="s">
        <v>135</v>
      </c>
      <c r="O58" s="1" t="s">
        <v>136</v>
      </c>
      <c r="P58" s="1" t="s">
        <v>137</v>
      </c>
      <c r="Q58" s="1" t="s">
        <v>138</v>
      </c>
      <c r="R58" s="1" t="s">
        <v>63</v>
      </c>
      <c r="S58" s="1" t="s">
        <v>101</v>
      </c>
    </row>
    <row r="59" spans="1:19" x14ac:dyDescent="0.45">
      <c r="A59" s="1" t="s">
        <v>112</v>
      </c>
      <c r="B59" s="1" t="str">
        <f>CONCATENATE(シミュレーションシート!C29,シミュレーションシート!D29)</f>
        <v/>
      </c>
      <c r="C59" s="15" t="e">
        <f>DATEVALUE(B59)</f>
        <v>#VALUE!</v>
      </c>
      <c r="E59" s="1" t="s">
        <v>112</v>
      </c>
      <c r="F59" s="38" t="e">
        <f>IF(OR(C59&gt;C50,C59&lt;C49,C59&lt;O57),"誤","")</f>
        <v>#VALUE!</v>
      </c>
      <c r="G59" s="1" t="str">
        <f>IF(B59="","",F59)</f>
        <v/>
      </c>
      <c r="I59" s="1" t="s">
        <v>127</v>
      </c>
      <c r="J59" s="1" t="e">
        <f>IF(B60-B59&lt;0,"誤","")</f>
        <v>#VALUE!</v>
      </c>
      <c r="K59" s="1" t="str">
        <f>IF(OR(B59="",B60=""),"",J59)</f>
        <v/>
      </c>
      <c r="M59" s="1" t="s">
        <v>139</v>
      </c>
      <c r="N59" s="1">
        <f>YEAR(O57)</f>
        <v>2026</v>
      </c>
      <c r="O59" s="1">
        <f>MONTH(O57)</f>
        <v>4</v>
      </c>
      <c r="P59" s="1" t="str">
        <f>CONCATENATE(N59,N58)</f>
        <v>2026年</v>
      </c>
      <c r="Q59" s="1" t="str">
        <f>CONCATENATE(O59,O58)</f>
        <v>4月</v>
      </c>
      <c r="R59" s="1" t="str">
        <f>CONCATENATE(P59,Q59)</f>
        <v>2026年4月</v>
      </c>
      <c r="S59" s="15">
        <f>DATEVALUE(R59)</f>
        <v>46113</v>
      </c>
    </row>
    <row r="60" spans="1:19" x14ac:dyDescent="0.45">
      <c r="A60" s="1" t="s">
        <v>113</v>
      </c>
      <c r="B60" s="1" t="str">
        <f>CONCATENATE(シミュレーションシート!F29,シミュレーションシート!I29)</f>
        <v/>
      </c>
      <c r="C60" s="15" t="e">
        <f>DATEVALUE(B60)</f>
        <v>#VALUE!</v>
      </c>
      <c r="E60" s="1" t="s">
        <v>113</v>
      </c>
      <c r="F60" s="38" t="e">
        <f>IF(データシート!$C$50&lt;データシート!$C$60,"誤","")</f>
        <v>#VALUE!</v>
      </c>
      <c r="G60" s="1" t="str">
        <f>IF(B60="","",F60)</f>
        <v/>
      </c>
      <c r="M60" s="1" t="s">
        <v>140</v>
      </c>
      <c r="N60" s="1" t="e">
        <f>YEAR(C50)</f>
        <v>#VALUE!</v>
      </c>
      <c r="O60" s="1" t="e">
        <f>MONTH(C50)</f>
        <v>#VALUE!</v>
      </c>
      <c r="P60" s="1" t="e">
        <f>CONCATENATE(N60,N58)</f>
        <v>#VALUE!</v>
      </c>
      <c r="Q60" s="1" t="e">
        <f>CONCATENATE(O60,O58)</f>
        <v>#VALUE!</v>
      </c>
      <c r="R60" s="1" t="e">
        <f t="shared" ref="R60:R63" si="28">CONCATENATE(P60,Q60)</f>
        <v>#VALUE!</v>
      </c>
      <c r="S60" s="15" t="e">
        <f t="shared" ref="S60:S63" si="29">DATEVALUE(R60)</f>
        <v>#VALUE!</v>
      </c>
    </row>
    <row r="61" spans="1:19" x14ac:dyDescent="0.45">
      <c r="F61" s="37"/>
      <c r="M61" s="1" t="s">
        <v>112</v>
      </c>
      <c r="N61" s="1" t="e">
        <f>YEAR(C59)</f>
        <v>#VALUE!</v>
      </c>
      <c r="O61" s="1" t="e">
        <f>MONTH(C59)</f>
        <v>#VALUE!</v>
      </c>
      <c r="P61" s="1" t="e">
        <f>CONCATENATE(N61,N58)</f>
        <v>#VALUE!</v>
      </c>
      <c r="Q61" s="1" t="e">
        <f>CONCATENATE(O61,O58)</f>
        <v>#VALUE!</v>
      </c>
      <c r="R61" s="1" t="e">
        <f t="shared" si="28"/>
        <v>#VALUE!</v>
      </c>
      <c r="S61" s="15" t="e">
        <f t="shared" si="29"/>
        <v>#VALUE!</v>
      </c>
    </row>
    <row r="62" spans="1:19" x14ac:dyDescent="0.45">
      <c r="A62" t="s">
        <v>67</v>
      </c>
      <c r="J62" s="35"/>
      <c r="M62" s="1" t="s">
        <v>141</v>
      </c>
      <c r="N62" s="15" t="e">
        <f>EDATE(C59,23)</f>
        <v>#VALUE!</v>
      </c>
      <c r="O62" s="1"/>
      <c r="P62" s="1"/>
      <c r="Q62" s="1"/>
      <c r="R62" s="1"/>
      <c r="S62" s="15"/>
    </row>
    <row r="63" spans="1:19" x14ac:dyDescent="0.45">
      <c r="A63" s="1"/>
      <c r="B63" s="1" t="s">
        <v>66</v>
      </c>
      <c r="C63" s="1" t="s">
        <v>52</v>
      </c>
      <c r="M63" s="1" t="s">
        <v>142</v>
      </c>
      <c r="N63" s="1" t="e">
        <f>YEAR(N62)</f>
        <v>#VALUE!</v>
      </c>
      <c r="O63" s="1" t="e">
        <f>MONTH(N62)</f>
        <v>#VALUE!</v>
      </c>
      <c r="P63" s="1" t="e">
        <f>CONCATENATE(N63,N58)</f>
        <v>#VALUE!</v>
      </c>
      <c r="Q63" s="1" t="e">
        <f>CONCATENATE(O63,O58)</f>
        <v>#VALUE!</v>
      </c>
      <c r="R63" s="1" t="e">
        <f t="shared" si="28"/>
        <v>#VALUE!</v>
      </c>
      <c r="S63" s="15" t="e">
        <f t="shared" si="29"/>
        <v>#VALUE!</v>
      </c>
    </row>
    <row r="64" spans="1:19" x14ac:dyDescent="0.45">
      <c r="A64" s="1" t="s">
        <v>65</v>
      </c>
      <c r="B64" s="1">
        <f>(シミュレーションシート!J22-シミュレーションシート!F28)/12</f>
        <v>0</v>
      </c>
      <c r="C64" s="1">
        <f>ROUNDDOWN(B64,-3)</f>
        <v>0</v>
      </c>
    </row>
    <row r="66" spans="1:6" x14ac:dyDescent="0.45">
      <c r="A66" t="s">
        <v>70</v>
      </c>
    </row>
    <row r="67" spans="1:6" x14ac:dyDescent="0.45">
      <c r="A67" t="s">
        <v>71</v>
      </c>
      <c r="B67" t="str">
        <f>CONCATENATE(シミュレーションシート!C13,シミュレーションシート!C12,シミュレーションシート!H27)</f>
        <v/>
      </c>
    </row>
    <row r="69" spans="1:6" ht="18.600000000000001" thickBot="1" x14ac:dyDescent="0.5">
      <c r="B69" t="s">
        <v>49</v>
      </c>
      <c r="E69" t="s">
        <v>50</v>
      </c>
    </row>
    <row r="70" spans="1:6" x14ac:dyDescent="0.45">
      <c r="B70" s="21" t="s">
        <v>72</v>
      </c>
      <c r="C70" s="22">
        <f>IF(B67="国公立大学Ⅰ",F13,IF(B67="国公立大学Ⅱ",F22,IF(B67="国公立大学Ⅲ",F31,IF(B67="国公立大学Ⅳ",F40,0))))</f>
        <v>0</v>
      </c>
      <c r="E70" s="21" t="s">
        <v>72</v>
      </c>
      <c r="F70" s="22">
        <f>IF(B67="国公立大学Ⅰ",R13,IF(B67="国公立大学Ⅱ",R22,IF(B67="国公立大学Ⅲ",R31,IF(B67="国公立大学Ⅳ",R40,0))))</f>
        <v>0</v>
      </c>
    </row>
    <row r="71" spans="1:6" x14ac:dyDescent="0.45">
      <c r="B71" s="23" t="s">
        <v>73</v>
      </c>
      <c r="C71" s="24">
        <f>IF(AND(C70=0,B67="国公立短期大学Ⅰ"),F14,IF(AND(C70=0,B67="国公立短期大学Ⅱ"),F23,IF(AND(C70=0,B67="国公立短期大学Ⅲ"),F32,IF(AND(C70=0,B67="国公立短期大学Ⅳ"),F41,0))))</f>
        <v>0</v>
      </c>
      <c r="E71" s="23" t="s">
        <v>73</v>
      </c>
      <c r="F71" s="24">
        <f>IF(AND(F70=0,B67="国公立短期大学Ⅰ"),R14,IF(AND(F70=0,B67="国公立短期大学Ⅱ"),R23,IF(AND(F70=0,B67="国公立短期大学Ⅲ"),R32,IF(AND(F70=0,B67="国公立短期大学Ⅳ"),R41,0))))</f>
        <v>0</v>
      </c>
    </row>
    <row r="72" spans="1:6" x14ac:dyDescent="0.45">
      <c r="B72" s="23" t="s">
        <v>74</v>
      </c>
      <c r="C72" s="24">
        <f>IF(AND(C71=0,B67="国公立高等専門学校Ⅰ"),F15,IF(AND(C71=0,B67="国公立高等専門学校Ⅱ"),F24,IF(AND(C71=0,B67="国公立高等専門学校Ⅲ"),F33,IF(AND(C71=0,B67="国公立高等専門学校Ⅳ"),F42,0))))</f>
        <v>0</v>
      </c>
      <c r="E72" s="23" t="s">
        <v>74</v>
      </c>
      <c r="F72" s="24">
        <f>IF(AND(F71=0,B67="国公立高等専門学校Ⅰ"),R15,IF(AND(F71=0,B67="国公立高等専門学校Ⅱ"),R24,IF(AND(F71=0,B67="国公立高等専門学校Ⅲ"),R33,IF(AND(F71=0,B67="国公立高等専門学校Ⅳ"),R42,0))))</f>
        <v>0</v>
      </c>
    </row>
    <row r="73" spans="1:6" ht="18.600000000000001" thickBot="1" x14ac:dyDescent="0.5">
      <c r="B73" s="25" t="s">
        <v>75</v>
      </c>
      <c r="C73" s="26">
        <f>IF(AND(C72=0,B67="国公立専門学校Ⅰ"),F16,IF(AND(C72=0,B67="国公立専門学校Ⅱ"),F25,IF(AND(C72=0,B67="国公立専門学校Ⅲ"),F34,IF(AND(C72=0,B67="国公立専門学校Ⅳ"),F43,0))))</f>
        <v>0</v>
      </c>
      <c r="E73" s="25" t="s">
        <v>75</v>
      </c>
      <c r="F73" s="26">
        <f>IF(AND(F72=0,B67="国公立専門学校Ⅰ"),R16,IF(AND(F72=0,B67="国公立専門学校Ⅱ"),R25,IF(AND(F72=0,B67="国公立専門学校Ⅲ"),R34,IF(AND(F72=0,B67="国公立専門学校Ⅳ"),R43,0))))</f>
        <v>0</v>
      </c>
    </row>
    <row r="74" spans="1:6" x14ac:dyDescent="0.45">
      <c r="B74" s="21" t="s">
        <v>76</v>
      </c>
      <c r="C74" s="22">
        <f>IF(AND(C73=0,B67="私立大学Ⅰ"),K13,IF(AND(C73=0,B67="私立大学Ⅱ"),K22,IF(AND(C73=0,B67="私立大学Ⅲ"),K31,IF(AND(C73=0,B67="私立大学Ⅳ"),K40,0))))</f>
        <v>0</v>
      </c>
      <c r="E74" s="21" t="s">
        <v>76</v>
      </c>
      <c r="F74" s="22">
        <f>IF(AND(F73=0,B67="私立大学Ⅰ"),W13,IF(AND(F73=0,B67="私立大学Ⅱ"),W22,IF(AND(F73=0,B67="私立大学Ⅲ"),W31,IF(AND(F73=0,B67="私立大学Ⅳ"),W40,0))))</f>
        <v>0</v>
      </c>
    </row>
    <row r="75" spans="1:6" x14ac:dyDescent="0.45">
      <c r="B75" s="23" t="s">
        <v>77</v>
      </c>
      <c r="C75" s="24">
        <f>IF(AND(C74=0,B67="私立短期大学Ⅰ"),K14,IF(AND(C74=0,B67="私立短期大学Ⅱ"),K23,IF(AND(C74=0,B67="私立短期大学Ⅲ"),K32,IF(AND(C74=0,B67="私立短期大学Ⅳ"),K41,0))))</f>
        <v>0</v>
      </c>
      <c r="E75" s="23" t="s">
        <v>77</v>
      </c>
      <c r="F75" s="24">
        <f>IF(AND(F74=0,B67="私立短期大学Ⅰ"),W14,IF(AND(F74=0,B67="私立短期大学Ⅱ"),W23,IF(AND(F74=0,B67="私立短期大学Ⅲ"),W32,IF(AND(F74=0,B67="私立短期大学Ⅳ"),W41,0))))</f>
        <v>0</v>
      </c>
    </row>
    <row r="76" spans="1:6" x14ac:dyDescent="0.45">
      <c r="B76" s="23" t="s">
        <v>78</v>
      </c>
      <c r="C76" s="24">
        <f>IF(AND(C75=0,B67="私立高等専門学校Ⅰ"),K15,IF(AND(C75=0,B67="私立高等専門学校Ⅱ"),K24,IF(AND(C75=0,B67="私立高等専門学校Ⅲ"),K33,IF(AND(C75=0,B67="私立高等専門学校Ⅳ"),K42,0))))</f>
        <v>0</v>
      </c>
      <c r="E76" s="23" t="s">
        <v>78</v>
      </c>
      <c r="F76" s="24">
        <f>IF(AND(F75=0,B67="私立高等専門学校Ⅰ"),W16,IF(AND(F75=0,B67="私立高等専門学校Ⅱ"),W24,IF(AND(F75=0,B67="私立高等専門学校Ⅲ"),W33,IF(AND(F75=0,B67="私立高等専門学校Ⅳ"),W42,0))))</f>
        <v>0</v>
      </c>
    </row>
    <row r="77" spans="1:6" ht="18.600000000000001" thickBot="1" x14ac:dyDescent="0.5">
      <c r="B77" s="27" t="s">
        <v>79</v>
      </c>
      <c r="C77" s="28">
        <f>IF(AND(C76=0,B67="私立専門学校Ⅰ"),K16,IF(AND(C76=0,B67="私立専門学校Ⅱ"),K25,IF(AND(C76=0,B67="私立専門学校Ⅲ"),K34,IF(AND(C76=0,B67="私立専門学校Ⅳ"),K43,0))))</f>
        <v>0</v>
      </c>
      <c r="E77" s="27" t="s">
        <v>79</v>
      </c>
      <c r="F77" s="28">
        <f>IF(AND(F76=0,B67="私立専門学校Ⅰ"),W16,IF(AND(F76=0,B67="私立専門学校Ⅱ"),W25,IF(AND(F76=0,B67="私立専門学校Ⅲ"),W34,IF(AND(F76=0,B67="私立専門学校Ⅳ"),W43,0))))</f>
        <v>0</v>
      </c>
    </row>
    <row r="78" spans="1:6" ht="19.2" thickTop="1" thickBot="1" x14ac:dyDescent="0.5">
      <c r="B78" s="30" t="s">
        <v>80</v>
      </c>
      <c r="C78" s="29">
        <f>SUM(C70:C77)</f>
        <v>0</v>
      </c>
      <c r="E78" s="30" t="s">
        <v>80</v>
      </c>
      <c r="F78" s="29">
        <f>SUM(F70:F77)</f>
        <v>0</v>
      </c>
    </row>
    <row r="80" spans="1:6" x14ac:dyDescent="0.45">
      <c r="A80" t="s">
        <v>103</v>
      </c>
    </row>
    <row r="81" spans="1:14" x14ac:dyDescent="0.45">
      <c r="A81" s="1"/>
      <c r="B81" s="1" t="s">
        <v>6</v>
      </c>
      <c r="C81" s="1" t="s">
        <v>52</v>
      </c>
      <c r="D81" s="1" t="s">
        <v>104</v>
      </c>
      <c r="E81" s="1" t="s">
        <v>105</v>
      </c>
      <c r="F81" s="1" t="s">
        <v>128</v>
      </c>
      <c r="J81" t="s">
        <v>170</v>
      </c>
      <c r="M81" t="s">
        <v>171</v>
      </c>
    </row>
    <row r="82" spans="1:14" x14ac:dyDescent="0.45">
      <c r="A82" s="1" t="s">
        <v>106</v>
      </c>
      <c r="B82" s="1">
        <f>シミュレーションシート!D31</f>
        <v>0</v>
      </c>
      <c r="C82" s="1">
        <f>ROUNDDOWN(B82,-3)</f>
        <v>0</v>
      </c>
      <c r="D82" s="1">
        <f>シミュレーションシート!I31</f>
        <v>0</v>
      </c>
      <c r="E82" s="1">
        <f>C82*D82</f>
        <v>0</v>
      </c>
      <c r="F82" s="1" t="str">
        <f>IF(ROUND(シミュレーションシート!H31,0)=シミュレーションシート!H31,"","誤")</f>
        <v/>
      </c>
      <c r="J82" s="15">
        <f>DATE(YEAR(J83)-1, MONTH(J83), DAY(J83))</f>
        <v>44652</v>
      </c>
      <c r="K82" s="46" t="str">
        <f>YEAR(J82)&amp;"年"</f>
        <v>2022年</v>
      </c>
      <c r="M82" s="15">
        <f>O57</f>
        <v>46113</v>
      </c>
      <c r="N82" s="46" t="str">
        <f>YEAR(M82)&amp;"年"</f>
        <v>2026年</v>
      </c>
    </row>
    <row r="83" spans="1:14" x14ac:dyDescent="0.45">
      <c r="A83" s="1" t="s">
        <v>107</v>
      </c>
      <c r="B83" s="1">
        <f>シミュレーションシート!D33</f>
        <v>0</v>
      </c>
      <c r="C83" s="1">
        <f t="shared" ref="C83:C85" si="30">ROUNDDOWN(B83,-3)</f>
        <v>0</v>
      </c>
      <c r="D83" s="1">
        <f>シミュレーションシート!I33</f>
        <v>0</v>
      </c>
      <c r="E83" s="1">
        <f>C83*D83</f>
        <v>0</v>
      </c>
      <c r="F83" s="1" t="str">
        <f>IF(ROUND(シミュレーションシート!H33,0)=シミュレーションシート!H33,"","誤")</f>
        <v/>
      </c>
      <c r="J83" s="15">
        <f>DATE(YEAR(J84)-1, MONTH(J84), DAY(J84))</f>
        <v>45017</v>
      </c>
      <c r="K83" s="46" t="str">
        <f t="shared" ref="K83:K86" si="31">YEAR(J83)&amp;"年"</f>
        <v>2023年</v>
      </c>
      <c r="M83" s="15">
        <f>DATE(YEAR(M82)+1, MONTH(M82), DAY(M82))</f>
        <v>46478</v>
      </c>
      <c r="N83" s="46" t="str">
        <f t="shared" ref="N83:N86" si="32">YEAR(M83)&amp;"年"</f>
        <v>2027年</v>
      </c>
    </row>
    <row r="84" spans="1:14" x14ac:dyDescent="0.45">
      <c r="A84" s="1" t="s">
        <v>108</v>
      </c>
      <c r="B84" s="1">
        <f>シミュレーションシート!D35</f>
        <v>0</v>
      </c>
      <c r="C84" s="1">
        <f t="shared" si="30"/>
        <v>0</v>
      </c>
      <c r="D84" s="1">
        <f>シミュレーションシート!I35</f>
        <v>0</v>
      </c>
      <c r="E84" s="1">
        <f t="shared" ref="E84:E85" si="33">C84*D84</f>
        <v>0</v>
      </c>
      <c r="F84" s="1" t="str">
        <f>IF(ROUND(シミュレーションシート!H35,0)=シミュレーションシート!H35,"","誤")</f>
        <v/>
      </c>
      <c r="J84" s="15">
        <f>DATE(YEAR(J85)-1, MONTH(J85), DAY(J85))</f>
        <v>45383</v>
      </c>
      <c r="K84" s="46" t="str">
        <f t="shared" si="31"/>
        <v>2024年</v>
      </c>
      <c r="M84" s="15">
        <f>DATE(YEAR(M83)+1, MONTH(M83), DAY(M83))</f>
        <v>46844</v>
      </c>
      <c r="N84" s="46" t="str">
        <f t="shared" si="32"/>
        <v>2028年</v>
      </c>
    </row>
    <row r="85" spans="1:14" x14ac:dyDescent="0.45">
      <c r="A85" s="1" t="s">
        <v>109</v>
      </c>
      <c r="B85" s="1">
        <f>シミュレーションシート!D37</f>
        <v>0</v>
      </c>
      <c r="C85" s="1">
        <f t="shared" si="30"/>
        <v>0</v>
      </c>
      <c r="D85" s="1">
        <f>シミュレーションシート!I37</f>
        <v>0</v>
      </c>
      <c r="E85" s="1">
        <f t="shared" si="33"/>
        <v>0</v>
      </c>
      <c r="F85" s="1" t="str">
        <f>IF(ROUND(シミュレーションシート!H37,0)=シミュレーションシート!H37,"","誤")</f>
        <v/>
      </c>
      <c r="J85" s="15">
        <f>DATE(YEAR(J86)-1, MONTH(J86), DAY(J86))</f>
        <v>45748</v>
      </c>
      <c r="K85" s="46" t="str">
        <f t="shared" si="31"/>
        <v>2025年</v>
      </c>
      <c r="M85" s="15">
        <f>DATE(YEAR(M84)+1, MONTH(M84), DAY(M84))</f>
        <v>47209</v>
      </c>
      <c r="N85" s="46" t="str">
        <f t="shared" si="32"/>
        <v>2029年</v>
      </c>
    </row>
    <row r="86" spans="1:14" x14ac:dyDescent="0.45">
      <c r="J86" s="15">
        <f>O57</f>
        <v>46113</v>
      </c>
      <c r="K86" s="46" t="str">
        <f t="shared" si="31"/>
        <v>2026年</v>
      </c>
      <c r="M86" s="15">
        <f>DATE(YEAR(M85)+1, MONTH(M85), DAY(M85))</f>
        <v>47574</v>
      </c>
      <c r="N86" s="46" t="str">
        <f t="shared" si="32"/>
        <v>2030年</v>
      </c>
    </row>
    <row r="87" spans="1:14" x14ac:dyDescent="0.45">
      <c r="A87" t="s">
        <v>145</v>
      </c>
    </row>
    <row r="88" spans="1:14" x14ac:dyDescent="0.45">
      <c r="A88" s="1"/>
      <c r="B88" s="1" t="s">
        <v>149</v>
      </c>
      <c r="C88" s="43" t="s">
        <v>135</v>
      </c>
      <c r="D88" s="1" t="s">
        <v>135</v>
      </c>
      <c r="E88" s="1" t="s">
        <v>148</v>
      </c>
      <c r="F88" s="1" t="s">
        <v>148</v>
      </c>
    </row>
    <row r="89" spans="1:14" x14ac:dyDescent="0.45">
      <c r="A89" s="1" t="s">
        <v>146</v>
      </c>
      <c r="B89" s="15" t="e">
        <f>C59</f>
        <v>#VALUE!</v>
      </c>
      <c r="C89" s="43" t="e">
        <f>YEAR(B89)</f>
        <v>#VALUE!</v>
      </c>
      <c r="D89" s="46" t="e">
        <f>C89&amp;D88</f>
        <v>#VALUE!</v>
      </c>
      <c r="E89" s="1" t="e">
        <f>MONTH(B89)</f>
        <v>#VALUE!</v>
      </c>
      <c r="F89" s="46" t="e">
        <f>E89&amp;F88</f>
        <v>#VALUE!</v>
      </c>
    </row>
    <row r="90" spans="1:14" ht="18.600000000000001" thickBot="1" x14ac:dyDescent="0.5">
      <c r="A90" s="39" t="s">
        <v>147</v>
      </c>
      <c r="B90" s="42" t="e">
        <f>C60</f>
        <v>#VALUE!</v>
      </c>
      <c r="C90" s="44" t="e">
        <f>YEAR(B90)</f>
        <v>#VALUE!</v>
      </c>
      <c r="D90" s="47" t="e">
        <f>C90&amp;D88</f>
        <v>#VALUE!</v>
      </c>
      <c r="E90" s="39" t="e">
        <f>MONTH(B90)</f>
        <v>#VALUE!</v>
      </c>
      <c r="F90" s="47" t="e">
        <f>E90&amp;F88</f>
        <v>#VALUE!</v>
      </c>
    </row>
    <row r="91" spans="1:14" ht="18.600000000000001" thickTop="1" x14ac:dyDescent="0.45">
      <c r="A91" s="4" t="s">
        <v>164</v>
      </c>
      <c r="B91" s="4" t="e">
        <f>DATEDIF(B89,B90,"M")+1</f>
        <v>#VALUE!</v>
      </c>
      <c r="C91" s="45"/>
      <c r="D91" s="4"/>
      <c r="E91" s="4"/>
      <c r="F91" s="4"/>
    </row>
    <row r="93" spans="1:14" x14ac:dyDescent="0.45">
      <c r="A93" s="1" t="s">
        <v>165</v>
      </c>
      <c r="B93" s="2" t="e">
        <f>D89</f>
        <v>#VALUE!</v>
      </c>
      <c r="C93" s="2" t="s">
        <v>150</v>
      </c>
      <c r="D93" s="2" t="s">
        <v>151</v>
      </c>
      <c r="E93" s="2" t="s">
        <v>152</v>
      </c>
      <c r="F93" s="2" t="s">
        <v>153</v>
      </c>
    </row>
    <row r="94" spans="1:14" x14ac:dyDescent="0.45">
      <c r="A94" s="46" t="s">
        <v>154</v>
      </c>
      <c r="B94" s="1" t="e">
        <f t="shared" ref="B94:B106" si="34">IF(A94=$F$89,"○","")</f>
        <v>#VALUE!</v>
      </c>
      <c r="C94" s="2" t="e">
        <f>IF(B94="○","○","")</f>
        <v>#VALUE!</v>
      </c>
      <c r="D94" s="2" t="e">
        <f>IF(AND(B94="○",$B$91&gt;=13),"○","")</f>
        <v>#VALUE!</v>
      </c>
      <c r="E94" s="2" t="e">
        <f>IF(AND(B94="○",$B$91&gt;=25),"○","")</f>
        <v>#VALUE!</v>
      </c>
      <c r="F94" s="2" t="e">
        <f>IF(AND(B94="○",$B$91&gt;=37),"○","")</f>
        <v>#VALUE!</v>
      </c>
    </row>
    <row r="95" spans="1:14" x14ac:dyDescent="0.45">
      <c r="A95" s="46" t="s">
        <v>155</v>
      </c>
      <c r="B95" s="1" t="e">
        <f t="shared" si="34"/>
        <v>#VALUE!</v>
      </c>
      <c r="C95" s="2" t="e">
        <f t="shared" ref="C95:C105" si="35">IF(B95="○","○","")</f>
        <v>#VALUE!</v>
      </c>
      <c r="D95" s="2" t="e">
        <f>IF(AND(B95="○",$B$91&gt;=12),"○","")</f>
        <v>#VALUE!</v>
      </c>
      <c r="E95" s="2" t="e">
        <f>IF(AND(B95="○",$B$91&gt;=24),"○","")</f>
        <v>#VALUE!</v>
      </c>
      <c r="F95" s="2" t="e">
        <f>IF(AND(B95="○",$B$91&gt;=36),"○","")</f>
        <v>#VALUE!</v>
      </c>
    </row>
    <row r="96" spans="1:14" x14ac:dyDescent="0.45">
      <c r="A96" s="46" t="s">
        <v>156</v>
      </c>
      <c r="B96" s="1" t="e">
        <f t="shared" si="34"/>
        <v>#VALUE!</v>
      </c>
      <c r="C96" s="2" t="e">
        <f t="shared" si="35"/>
        <v>#VALUE!</v>
      </c>
      <c r="D96" s="2" t="e">
        <f>IF(AND(B96="○",$B$91&gt;=11),"○","")</f>
        <v>#VALUE!</v>
      </c>
      <c r="E96" s="2" t="e">
        <f>IF(AND(B96="○",$B$91&gt;=23),"○","")</f>
        <v>#VALUE!</v>
      </c>
      <c r="F96" s="2" t="e">
        <f>IF(AND(B96="○",$B$91&gt;=35),"○","")</f>
        <v>#VALUE!</v>
      </c>
    </row>
    <row r="97" spans="1:7" x14ac:dyDescent="0.45">
      <c r="A97" s="46" t="s">
        <v>157</v>
      </c>
      <c r="B97" s="1" t="e">
        <f t="shared" si="34"/>
        <v>#VALUE!</v>
      </c>
      <c r="C97" s="2" t="e">
        <f t="shared" si="35"/>
        <v>#VALUE!</v>
      </c>
      <c r="D97" s="2" t="e">
        <f>IF(AND(B97="○",$B$91&gt;=10),"○","")</f>
        <v>#VALUE!</v>
      </c>
      <c r="E97" s="2" t="e">
        <f>IF(AND(B97="○",$B$91&gt;=22),"○","")</f>
        <v>#VALUE!</v>
      </c>
      <c r="F97" s="2" t="e">
        <f>IF(AND(B97="○",$B$91&gt;=34),"○","")</f>
        <v>#VALUE!</v>
      </c>
    </row>
    <row r="98" spans="1:7" x14ac:dyDescent="0.45">
      <c r="A98" s="46" t="s">
        <v>158</v>
      </c>
      <c r="B98" s="1" t="e">
        <f t="shared" si="34"/>
        <v>#VALUE!</v>
      </c>
      <c r="C98" s="2" t="e">
        <f t="shared" si="35"/>
        <v>#VALUE!</v>
      </c>
      <c r="D98" s="2" t="e">
        <f>IF(AND(B98="○",$B$91&gt;=9),"○","")</f>
        <v>#VALUE!</v>
      </c>
      <c r="E98" s="2" t="e">
        <f>IF(AND(B98="○",$B$91&gt;=21),"○","")</f>
        <v>#VALUE!</v>
      </c>
      <c r="F98" s="2" t="e">
        <f>IF(AND(B98="○",$B$91&gt;=33),"○","")</f>
        <v>#VALUE!</v>
      </c>
    </row>
    <row r="99" spans="1:7" x14ac:dyDescent="0.45">
      <c r="A99" s="46" t="s">
        <v>144</v>
      </c>
      <c r="B99" s="1" t="e">
        <f t="shared" si="34"/>
        <v>#VALUE!</v>
      </c>
      <c r="C99" s="2" t="e">
        <f t="shared" si="35"/>
        <v>#VALUE!</v>
      </c>
      <c r="D99" s="2" t="e">
        <f>IF(AND(B99="○",$B$91&gt;=8),"○","")</f>
        <v>#VALUE!</v>
      </c>
      <c r="E99" s="2" t="e">
        <f>IF(AND(B99="○",$B$91&gt;=20),"○","")</f>
        <v>#VALUE!</v>
      </c>
      <c r="F99" s="2" t="e">
        <f>IF(AND(B99="○",$B$91&gt;=32),"○","")</f>
        <v>#VALUE!</v>
      </c>
    </row>
    <row r="100" spans="1:7" x14ac:dyDescent="0.45">
      <c r="A100" s="46" t="s">
        <v>143</v>
      </c>
      <c r="B100" s="2" t="e">
        <f t="shared" si="34"/>
        <v>#VALUE!</v>
      </c>
      <c r="C100" s="2" t="e">
        <f t="shared" si="35"/>
        <v>#VALUE!</v>
      </c>
      <c r="D100" s="2" t="e">
        <f>IF(AND(B100="○",$B$91&gt;=7),"○","")</f>
        <v>#VALUE!</v>
      </c>
      <c r="E100" s="2" t="e">
        <f>IF(AND(B100="○",$B$91&gt;=19),"○","")</f>
        <v>#VALUE!</v>
      </c>
      <c r="F100" s="2" t="e">
        <f>IF(AND(B100="○",$B$91&gt;=31),"○","")</f>
        <v>#VALUE!</v>
      </c>
    </row>
    <row r="101" spans="1:7" x14ac:dyDescent="0.45">
      <c r="A101" s="46" t="s">
        <v>159</v>
      </c>
      <c r="B101" s="1" t="e">
        <f t="shared" si="34"/>
        <v>#VALUE!</v>
      </c>
      <c r="C101" s="2" t="e">
        <f t="shared" si="35"/>
        <v>#VALUE!</v>
      </c>
      <c r="D101" s="2" t="e">
        <f>IF(AND(B101="○",$B$91&gt;=6),"○","")</f>
        <v>#VALUE!</v>
      </c>
      <c r="E101" s="2" t="e">
        <f>IF(AND(B101="○",$B$91&gt;=18),"○","")</f>
        <v>#VALUE!</v>
      </c>
      <c r="F101" s="2" t="e">
        <f>IF(AND(B101="○",$B$91&gt;=30),"○","")</f>
        <v>#VALUE!</v>
      </c>
    </row>
    <row r="102" spans="1:7" x14ac:dyDescent="0.45">
      <c r="A102" s="46" t="s">
        <v>160</v>
      </c>
      <c r="B102" s="1" t="e">
        <f t="shared" si="34"/>
        <v>#VALUE!</v>
      </c>
      <c r="C102" s="2" t="e">
        <f t="shared" si="35"/>
        <v>#VALUE!</v>
      </c>
      <c r="D102" s="2" t="e">
        <f>IF(AND(B102="○",$B$91&gt;=5),"○","")</f>
        <v>#VALUE!</v>
      </c>
      <c r="E102" s="2" t="e">
        <f>IF(AND(B102="○",$B$91&gt;=17),"○","")</f>
        <v>#VALUE!</v>
      </c>
      <c r="F102" s="2" t="e">
        <f>IF(AND(B102="○",$B$91&gt;=29),"○","")</f>
        <v>#VALUE!</v>
      </c>
    </row>
    <row r="103" spans="1:7" x14ac:dyDescent="0.45">
      <c r="A103" s="46" t="s">
        <v>161</v>
      </c>
      <c r="B103" s="1" t="e">
        <f t="shared" si="34"/>
        <v>#VALUE!</v>
      </c>
      <c r="C103" s="2" t="e">
        <f t="shared" si="35"/>
        <v>#VALUE!</v>
      </c>
      <c r="D103" s="2" t="e">
        <f>IF(AND(B103="○",$B$91&gt;=4),"○","")</f>
        <v>#VALUE!</v>
      </c>
      <c r="E103" s="2" t="e">
        <f>IF(AND(B103="○",$B$91&gt;=16),"○","")</f>
        <v>#VALUE!</v>
      </c>
      <c r="F103" s="2" t="e">
        <f>IF(AND(B103="○",$B$91&gt;=28),"○","")</f>
        <v>#VALUE!</v>
      </c>
    </row>
    <row r="104" spans="1:7" x14ac:dyDescent="0.45">
      <c r="A104" s="46" t="s">
        <v>162</v>
      </c>
      <c r="B104" s="1" t="e">
        <f t="shared" si="34"/>
        <v>#VALUE!</v>
      </c>
      <c r="C104" s="2" t="e">
        <f t="shared" si="35"/>
        <v>#VALUE!</v>
      </c>
      <c r="D104" s="2" t="e">
        <f>IF(AND(B104="○",$B$91&gt;=3),"○","")</f>
        <v>#VALUE!</v>
      </c>
      <c r="E104" s="2" t="e">
        <f>IF(AND(B104="○",$B$91&gt;=15),"○","")</f>
        <v>#VALUE!</v>
      </c>
      <c r="F104" s="2" t="e">
        <f>IF(AND(B104="○",$B$91&gt;=27),"○","")</f>
        <v>#VALUE!</v>
      </c>
    </row>
    <row r="105" spans="1:7" ht="18.600000000000001" thickBot="1" x14ac:dyDescent="0.5">
      <c r="A105" s="47" t="s">
        <v>163</v>
      </c>
      <c r="B105" s="39" t="e">
        <f t="shared" si="34"/>
        <v>#VALUE!</v>
      </c>
      <c r="C105" s="49" t="e">
        <f t="shared" si="35"/>
        <v>#VALUE!</v>
      </c>
      <c r="D105" s="49" t="e">
        <f>IF(AND(B105="○",$B$91&gt;=2),"○","")</f>
        <v>#VALUE!</v>
      </c>
      <c r="E105" s="49" t="e">
        <f>IF(AND(B105="○",$B$91&gt;=14),"○","")</f>
        <v>#VALUE!</v>
      </c>
      <c r="F105" s="49" t="e">
        <f>IF(AND(B105="○",$B$91&gt;=26),"○","")</f>
        <v>#VALUE!</v>
      </c>
      <c r="G105" t="s">
        <v>167</v>
      </c>
    </row>
    <row r="106" spans="1:7" ht="19.2" thickTop="1" thickBot="1" x14ac:dyDescent="0.5">
      <c r="A106" s="48" t="s">
        <v>166</v>
      </c>
      <c r="B106" s="4" t="e">
        <f t="shared" si="34"/>
        <v>#VALUE!</v>
      </c>
      <c r="C106" s="4">
        <f>COUNTIF(C94:C105,"○")</f>
        <v>0</v>
      </c>
      <c r="D106" s="4">
        <f t="shared" ref="D106:F106" si="36">COUNTIF(D94:D105,"○")</f>
        <v>0</v>
      </c>
      <c r="E106" s="4">
        <f t="shared" si="36"/>
        <v>0</v>
      </c>
      <c r="F106" s="45">
        <f t="shared" si="36"/>
        <v>0</v>
      </c>
      <c r="G106" s="50">
        <f>SUM(C106:F106)</f>
        <v>0</v>
      </c>
    </row>
  </sheetData>
  <sheetProtection algorithmName="SHA-512" hashValue="hQ1OA3u614yNfwoSxAli7nlcFi6dAJYkcZwFckG0d1+c4CeDZcD4J7gK8ff5eeOIiOuhnVWyvYsT8cUYtxbjkQ==" saltValue="yZgoiyamuSEJ9TPLMR71Mw==" spinCount="100000" sheet="1" objects="1" scenarios="1"/>
  <mergeCells count="20">
    <mergeCell ref="B38:F38"/>
    <mergeCell ref="G38:K38"/>
    <mergeCell ref="N38:R38"/>
    <mergeCell ref="S38:W38"/>
    <mergeCell ref="N20:R20"/>
    <mergeCell ref="S20:W20"/>
    <mergeCell ref="N29:R29"/>
    <mergeCell ref="S29:W29"/>
    <mergeCell ref="B29:F29"/>
    <mergeCell ref="G29:K29"/>
    <mergeCell ref="B20:F20"/>
    <mergeCell ref="G20:K20"/>
    <mergeCell ref="B2:F2"/>
    <mergeCell ref="G2:K2"/>
    <mergeCell ref="N2:R2"/>
    <mergeCell ref="S2:W2"/>
    <mergeCell ref="N11:R11"/>
    <mergeCell ref="S11:W11"/>
    <mergeCell ref="B11:F11"/>
    <mergeCell ref="G11:K11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8A166-DDA3-4E04-98E3-457783C80AA7}">
  <sheetPr codeName="Sheet1">
    <pageSetUpPr fitToPage="1"/>
  </sheetPr>
  <dimension ref="A1:Q40"/>
  <sheetViews>
    <sheetView showGridLines="0" tabSelected="1" view="pageLayout" zoomScale="70" zoomScaleNormal="70" zoomScalePageLayoutView="70" workbookViewId="0">
      <selection activeCell="A29" sqref="A29:B29"/>
    </sheetView>
  </sheetViews>
  <sheetFormatPr defaultColWidth="9" defaultRowHeight="19.8" x14ac:dyDescent="0.45"/>
  <cols>
    <col min="1" max="1" width="4.59765625" style="53" customWidth="1"/>
    <col min="2" max="2" width="23.59765625" style="53" customWidth="1"/>
    <col min="3" max="4" width="11.5" style="53" customWidth="1"/>
    <col min="5" max="5" width="9.09765625" style="53" customWidth="1"/>
    <col min="6" max="6" width="4.19921875" style="53" customWidth="1"/>
    <col min="7" max="7" width="5.09765625" style="53" customWidth="1"/>
    <col min="8" max="8" width="4.19921875" style="53" customWidth="1"/>
    <col min="9" max="9" width="14" style="53" customWidth="1"/>
    <col min="10" max="10" width="9.09765625" style="53" customWidth="1"/>
    <col min="11" max="11" width="3.59765625" style="53" customWidth="1"/>
    <col min="12" max="12" width="7.59765625" style="53" customWidth="1"/>
    <col min="13" max="13" width="7.5" style="53" customWidth="1"/>
    <col min="14" max="14" width="4.59765625" style="53" customWidth="1"/>
    <col min="15" max="19" width="10.09765625" style="53" customWidth="1"/>
    <col min="20" max="20" width="10.3984375" style="53" customWidth="1"/>
    <col min="21" max="22" width="9" style="53"/>
    <col min="23" max="23" width="10.09765625" style="53" customWidth="1"/>
    <col min="24" max="16384" width="9" style="53"/>
  </cols>
  <sheetData>
    <row r="1" spans="1:15" ht="34.5" customHeight="1" x14ac:dyDescent="0.45">
      <c r="A1" s="185" t="s">
        <v>180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</row>
    <row r="2" spans="1:15" ht="17.25" customHeight="1" thickBot="1" x14ac:dyDescent="0.5"/>
    <row r="3" spans="1:15" ht="21.75" customHeight="1" thickBot="1" x14ac:dyDescent="0.5">
      <c r="F3" s="140" t="s">
        <v>169</v>
      </c>
      <c r="G3" s="140"/>
      <c r="H3" s="210"/>
      <c r="I3" s="211"/>
      <c r="J3" s="211"/>
      <c r="K3" s="211"/>
      <c r="L3" s="211"/>
      <c r="M3" s="211"/>
      <c r="N3" s="212"/>
    </row>
    <row r="4" spans="1:15" ht="32.25" customHeight="1" thickBot="1" x14ac:dyDescent="0.5">
      <c r="D4" s="55"/>
      <c r="E4" s="55"/>
      <c r="F4" s="140" t="s">
        <v>125</v>
      </c>
      <c r="G4" s="140"/>
      <c r="H4" s="120"/>
      <c r="I4" s="121"/>
      <c r="J4" s="121"/>
      <c r="K4" s="121"/>
      <c r="L4" s="121"/>
      <c r="M4" s="121"/>
      <c r="N4" s="122"/>
    </row>
    <row r="5" spans="1:15" ht="9" customHeight="1" thickBot="1" x14ac:dyDescent="0.5">
      <c r="D5" s="54"/>
      <c r="E5" s="54"/>
      <c r="F5" s="54"/>
      <c r="G5" s="56"/>
      <c r="H5" s="56"/>
      <c r="I5" s="56"/>
      <c r="J5" s="56"/>
      <c r="K5" s="56"/>
      <c r="L5" s="56"/>
      <c r="M5" s="56"/>
    </row>
    <row r="6" spans="1:15" ht="24" customHeight="1" thickBot="1" x14ac:dyDescent="0.5">
      <c r="B6" s="57"/>
      <c r="C6" s="53" t="s">
        <v>98</v>
      </c>
    </row>
    <row r="7" spans="1:15" ht="24" customHeight="1" x14ac:dyDescent="0.45">
      <c r="C7" s="53" t="s">
        <v>99</v>
      </c>
    </row>
    <row r="8" spans="1:15" ht="10.5" customHeight="1" x14ac:dyDescent="0.45"/>
    <row r="9" spans="1:15" ht="18.75" customHeight="1" thickBot="1" x14ac:dyDescent="0.5">
      <c r="A9" s="53" t="s">
        <v>97</v>
      </c>
      <c r="B9" s="58"/>
      <c r="C9" s="58"/>
      <c r="D9" s="58"/>
      <c r="E9" s="58"/>
      <c r="F9" s="58"/>
      <c r="G9" s="58"/>
      <c r="H9" s="58"/>
      <c r="I9" s="58"/>
      <c r="J9" s="58"/>
      <c r="M9" s="59"/>
    </row>
    <row r="10" spans="1:15" ht="30.75" customHeight="1" thickBot="1" x14ac:dyDescent="0.5">
      <c r="A10" s="144" t="s">
        <v>53</v>
      </c>
      <c r="B10" s="145"/>
      <c r="C10" s="188"/>
      <c r="D10" s="189"/>
      <c r="E10" s="190"/>
      <c r="F10" s="143" t="s">
        <v>55</v>
      </c>
      <c r="G10" s="144"/>
      <c r="H10" s="145"/>
      <c r="I10" s="145"/>
      <c r="J10" s="136"/>
      <c r="K10" s="137"/>
      <c r="L10" s="131"/>
      <c r="M10" s="132"/>
      <c r="N10" s="133"/>
      <c r="O10" s="60" t="e">
        <f>IF(OR(データシート!M53&gt;=1,データシート!C49&gt;データシート!B55),"入学年月または学年に誤りがあります！修正してください。","")</f>
        <v>#VALUE!</v>
      </c>
    </row>
    <row r="11" spans="1:15" ht="30.75" customHeight="1" thickBot="1" x14ac:dyDescent="0.5">
      <c r="A11" s="125" t="s">
        <v>110</v>
      </c>
      <c r="B11" s="145"/>
      <c r="C11" s="188"/>
      <c r="D11" s="189"/>
      <c r="E11" s="190"/>
      <c r="F11" s="143" t="s">
        <v>56</v>
      </c>
      <c r="G11" s="144"/>
      <c r="H11" s="145"/>
      <c r="I11" s="145"/>
      <c r="J11" s="123"/>
      <c r="K11" s="134"/>
      <c r="L11" s="135"/>
      <c r="M11" s="129" t="s">
        <v>100</v>
      </c>
      <c r="N11" s="130"/>
      <c r="O11" s="61" t="str">
        <f>IF(データシート!G53&gt;=1,"学年または修業年限に誤りがあります！修正してください。","")</f>
        <v/>
      </c>
    </row>
    <row r="12" spans="1:15" ht="30.75" customHeight="1" thickBot="1" x14ac:dyDescent="0.5">
      <c r="A12" s="144" t="s">
        <v>54</v>
      </c>
      <c r="B12" s="145"/>
      <c r="C12" s="188"/>
      <c r="D12" s="189"/>
      <c r="E12" s="190"/>
      <c r="F12" s="143" t="s">
        <v>58</v>
      </c>
      <c r="G12" s="144"/>
      <c r="H12" s="145"/>
      <c r="I12" s="145"/>
      <c r="J12" s="136" t="s">
        <v>181</v>
      </c>
      <c r="K12" s="137"/>
      <c r="L12" s="131"/>
      <c r="M12" s="132"/>
      <c r="N12" s="133"/>
      <c r="O12" s="61" t="str">
        <f>IF(J13&lt;44652,"卒業年月を過ぎています！入学年月または修業年限に誤りがないか確認してください。","")</f>
        <v/>
      </c>
    </row>
    <row r="13" spans="1:15" ht="30.75" customHeight="1" thickBot="1" x14ac:dyDescent="0.5">
      <c r="A13" s="125" t="s">
        <v>69</v>
      </c>
      <c r="B13" s="145"/>
      <c r="C13" s="188"/>
      <c r="D13" s="189"/>
      <c r="E13" s="190"/>
      <c r="F13" s="143" t="s">
        <v>57</v>
      </c>
      <c r="G13" s="144"/>
      <c r="H13" s="145"/>
      <c r="I13" s="145"/>
      <c r="J13" s="138" t="str">
        <f>IFERROR(データシート!C50,"")</f>
        <v/>
      </c>
      <c r="K13" s="138"/>
      <c r="L13" s="138"/>
      <c r="M13" s="138"/>
      <c r="N13" s="138"/>
    </row>
    <row r="15" spans="1:15" ht="18.75" customHeight="1" thickBot="1" x14ac:dyDescent="0.5">
      <c r="A15" s="53" t="s">
        <v>81</v>
      </c>
      <c r="B15" s="58"/>
      <c r="C15" s="58"/>
      <c r="D15" s="139" t="s">
        <v>174</v>
      </c>
      <c r="E15" s="139"/>
      <c r="F15" s="139"/>
      <c r="G15" s="139"/>
      <c r="H15" s="139"/>
      <c r="I15" s="139"/>
      <c r="J15" s="139"/>
      <c r="M15" s="59"/>
      <c r="N15" s="59"/>
    </row>
    <row r="16" spans="1:15" ht="25.5" customHeight="1" thickBot="1" x14ac:dyDescent="0.5">
      <c r="A16" s="186" t="s">
        <v>0</v>
      </c>
      <c r="B16" s="62" t="s">
        <v>1</v>
      </c>
      <c r="C16" s="141">
        <v>0</v>
      </c>
      <c r="D16" s="142"/>
      <c r="E16" s="63" t="s">
        <v>6</v>
      </c>
      <c r="F16" s="186" t="s">
        <v>7</v>
      </c>
      <c r="G16" s="146" t="s">
        <v>14</v>
      </c>
      <c r="H16" s="147"/>
      <c r="I16" s="147"/>
      <c r="J16" s="141"/>
      <c r="K16" s="194"/>
      <c r="L16" s="194"/>
      <c r="M16" s="148" t="s">
        <v>6</v>
      </c>
      <c r="N16" s="149"/>
    </row>
    <row r="17" spans="1:17" ht="25.5" customHeight="1" thickBot="1" x14ac:dyDescent="0.5">
      <c r="A17" s="187"/>
      <c r="B17" s="62" t="s">
        <v>60</v>
      </c>
      <c r="C17" s="141"/>
      <c r="D17" s="142"/>
      <c r="E17" s="63" t="s">
        <v>6</v>
      </c>
      <c r="F17" s="187"/>
      <c r="G17" s="146" t="s">
        <v>13</v>
      </c>
      <c r="H17" s="147"/>
      <c r="I17" s="147"/>
      <c r="J17" s="141"/>
      <c r="K17" s="194"/>
      <c r="L17" s="194"/>
      <c r="M17" s="148" t="s">
        <v>6</v>
      </c>
      <c r="N17" s="149"/>
    </row>
    <row r="18" spans="1:17" ht="25.5" customHeight="1" thickBot="1" x14ac:dyDescent="0.5">
      <c r="A18" s="187"/>
      <c r="B18" s="64" t="s">
        <v>59</v>
      </c>
      <c r="C18" s="141"/>
      <c r="D18" s="142"/>
      <c r="E18" s="63" t="s">
        <v>6</v>
      </c>
      <c r="F18" s="187"/>
      <c r="G18" s="146" t="s">
        <v>12</v>
      </c>
      <c r="H18" s="147"/>
      <c r="I18" s="147"/>
      <c r="J18" s="141"/>
      <c r="K18" s="194"/>
      <c r="L18" s="142"/>
      <c r="M18" s="152" t="s">
        <v>6</v>
      </c>
      <c r="N18" s="149"/>
    </row>
    <row r="19" spans="1:17" ht="25.5" customHeight="1" thickBot="1" x14ac:dyDescent="0.5">
      <c r="A19" s="187"/>
      <c r="B19" s="62" t="s">
        <v>3</v>
      </c>
      <c r="C19" s="141"/>
      <c r="D19" s="142"/>
      <c r="E19" s="63" t="s">
        <v>6</v>
      </c>
      <c r="F19" s="193"/>
      <c r="G19" s="207" t="s">
        <v>11</v>
      </c>
      <c r="H19" s="208"/>
      <c r="I19" s="208"/>
      <c r="J19" s="141"/>
      <c r="K19" s="194"/>
      <c r="L19" s="142"/>
      <c r="M19" s="198" t="s">
        <v>6</v>
      </c>
      <c r="N19" s="199"/>
    </row>
    <row r="20" spans="1:17" ht="25.5" customHeight="1" thickTop="1" thickBot="1" x14ac:dyDescent="0.5">
      <c r="A20" s="187"/>
      <c r="B20" s="62" t="s">
        <v>4</v>
      </c>
      <c r="C20" s="141"/>
      <c r="D20" s="142"/>
      <c r="E20" s="63" t="s">
        <v>6</v>
      </c>
      <c r="F20" s="170"/>
      <c r="G20" s="172" t="s">
        <v>10</v>
      </c>
      <c r="H20" s="173"/>
      <c r="I20" s="174"/>
      <c r="J20" s="195">
        <f>C22+J16+J17+J18+J19</f>
        <v>0</v>
      </c>
      <c r="K20" s="195"/>
      <c r="L20" s="191"/>
      <c r="M20" s="150" t="s">
        <v>6</v>
      </c>
      <c r="N20" s="151"/>
    </row>
    <row r="21" spans="1:17" ht="25.5" customHeight="1" thickBot="1" x14ac:dyDescent="0.5">
      <c r="A21" s="187"/>
      <c r="B21" s="65" t="s">
        <v>5</v>
      </c>
      <c r="C21" s="141"/>
      <c r="D21" s="142"/>
      <c r="E21" s="66" t="s">
        <v>6</v>
      </c>
      <c r="F21" s="171"/>
      <c r="G21" s="175"/>
      <c r="H21" s="176"/>
      <c r="I21" s="177"/>
      <c r="J21" s="196"/>
      <c r="K21" s="196"/>
      <c r="L21" s="183"/>
      <c r="M21" s="152"/>
      <c r="N21" s="149"/>
    </row>
    <row r="22" spans="1:17" ht="25.5" customHeight="1" thickTop="1" x14ac:dyDescent="0.45">
      <c r="A22" s="187"/>
      <c r="B22" s="67" t="s">
        <v>38</v>
      </c>
      <c r="C22" s="191">
        <f>C16+C17+C19+C20+C21</f>
        <v>0</v>
      </c>
      <c r="D22" s="192"/>
      <c r="E22" s="68" t="s">
        <v>6</v>
      </c>
      <c r="F22" s="186" t="s">
        <v>8</v>
      </c>
      <c r="G22" s="202" t="s">
        <v>9</v>
      </c>
      <c r="H22" s="203"/>
      <c r="I22" s="204"/>
      <c r="J22" s="205">
        <f>C23+J16+J17+J18+J19</f>
        <v>0</v>
      </c>
      <c r="K22" s="206"/>
      <c r="L22" s="206"/>
      <c r="M22" s="152" t="s">
        <v>6</v>
      </c>
      <c r="N22" s="149"/>
    </row>
    <row r="23" spans="1:17" ht="25.5" customHeight="1" x14ac:dyDescent="0.45">
      <c r="A23" s="171"/>
      <c r="B23" s="69" t="s">
        <v>39</v>
      </c>
      <c r="C23" s="183">
        <f>C18+C19+C20+C21</f>
        <v>0</v>
      </c>
      <c r="D23" s="184"/>
      <c r="E23" s="63" t="s">
        <v>6</v>
      </c>
      <c r="F23" s="171"/>
      <c r="G23" s="175"/>
      <c r="H23" s="176"/>
      <c r="I23" s="177"/>
      <c r="J23" s="191"/>
      <c r="K23" s="192"/>
      <c r="L23" s="192"/>
      <c r="M23" s="152"/>
      <c r="N23" s="149"/>
    </row>
    <row r="25" spans="1:17" ht="18.75" customHeight="1" x14ac:dyDescent="0.45">
      <c r="A25" s="53" t="s">
        <v>96</v>
      </c>
      <c r="B25" s="58"/>
      <c r="C25" s="58"/>
      <c r="D25" s="58"/>
      <c r="E25" s="58"/>
      <c r="F25" s="58"/>
      <c r="G25" s="58"/>
      <c r="H25" s="58"/>
      <c r="I25" s="58"/>
      <c r="J25" s="58"/>
      <c r="M25" s="59"/>
      <c r="N25" s="59" t="s">
        <v>82</v>
      </c>
    </row>
    <row r="26" spans="1:17" ht="20.399999999999999" thickBot="1" x14ac:dyDescent="0.5">
      <c r="A26" s="125" t="s">
        <v>15</v>
      </c>
      <c r="B26" s="125"/>
      <c r="C26" s="165" t="s">
        <v>17</v>
      </c>
      <c r="D26" s="166"/>
      <c r="E26" s="167"/>
      <c r="F26" s="145" t="s">
        <v>16</v>
      </c>
      <c r="G26" s="209"/>
      <c r="H26" s="166"/>
      <c r="I26" s="166"/>
      <c r="J26" s="167"/>
      <c r="K26" s="144" t="s">
        <v>179</v>
      </c>
      <c r="L26" s="144"/>
      <c r="M26" s="144"/>
      <c r="N26" s="144"/>
    </row>
    <row r="27" spans="1:17" ht="33" customHeight="1" thickBot="1" x14ac:dyDescent="0.5">
      <c r="A27" s="125"/>
      <c r="B27" s="126"/>
      <c r="C27" s="123"/>
      <c r="D27" s="134"/>
      <c r="E27" s="124"/>
      <c r="F27" s="178" t="s">
        <v>18</v>
      </c>
      <c r="G27" s="178"/>
      <c r="H27" s="123"/>
      <c r="I27" s="124"/>
      <c r="J27" s="70" t="s">
        <v>16</v>
      </c>
      <c r="K27" s="182" t="str">
        <f>IF(H27="Ⅰ","全額支援",IF(H27="Ⅱ","２／３支援",IF(H27="Ⅲ","１／３支援",IF(H27="Ⅳ","全額支援","―"))))</f>
        <v>―</v>
      </c>
      <c r="L27" s="182"/>
      <c r="M27" s="182"/>
      <c r="N27" s="182"/>
    </row>
    <row r="28" spans="1:17" ht="42.75" customHeight="1" thickBot="1" x14ac:dyDescent="0.5">
      <c r="A28" s="125"/>
      <c r="B28" s="125"/>
      <c r="C28" s="168" t="s">
        <v>19</v>
      </c>
      <c r="D28" s="169"/>
      <c r="E28" s="71" t="s">
        <v>20</v>
      </c>
      <c r="F28" s="200">
        <f>IF(OR(C27="対象者でない",C27="申請中"),0,IF(データシート!F78&gt;0,データシート!F78,0))</f>
        <v>0</v>
      </c>
      <c r="G28" s="200"/>
      <c r="H28" s="201"/>
      <c r="I28" s="201"/>
      <c r="J28" s="72" t="s">
        <v>21</v>
      </c>
      <c r="K28" s="179">
        <f>IF(OR(C27="対象者でない",C27="申請中"),0,IF(データシート!C78&gt;0,データシート!C78,0))</f>
        <v>0</v>
      </c>
      <c r="L28" s="179"/>
      <c r="M28" s="179"/>
      <c r="N28" s="73" t="s">
        <v>6</v>
      </c>
    </row>
    <row r="29" spans="1:17" ht="39.75" customHeight="1" thickBot="1" x14ac:dyDescent="0.5">
      <c r="A29" s="127" t="s">
        <v>115</v>
      </c>
      <c r="B29" s="128"/>
      <c r="C29" s="74"/>
      <c r="D29" s="74"/>
      <c r="E29" s="75" t="s">
        <v>22</v>
      </c>
      <c r="F29" s="162"/>
      <c r="G29" s="163"/>
      <c r="H29" s="164"/>
      <c r="I29" s="74"/>
      <c r="J29" s="153">
        <f>IFERROR((SUM(DATEDIF(データシート!C59,データシート!C60,"m"),1)),0)</f>
        <v>0</v>
      </c>
      <c r="K29" s="154"/>
      <c r="L29" s="76" t="s">
        <v>23</v>
      </c>
      <c r="M29" s="77" t="str">
        <f>IF(データシート!K59="誤","借入希望期間に誤りがあります！入力を修正してください。",IF(データシート!G59="誤","借入開始日に誤りがあります！入力を修正してください。",IF(データシート!G60="誤","借入終了日に誤りがあります！入力を修正してください。","")))</f>
        <v/>
      </c>
      <c r="N29" s="78"/>
      <c r="Q29" s="79"/>
    </row>
    <row r="30" spans="1:17" ht="26.25" customHeight="1" thickBot="1" x14ac:dyDescent="0.5">
      <c r="A30" s="155" t="s">
        <v>114</v>
      </c>
      <c r="B30" s="156"/>
      <c r="C30" s="180">
        <f>データシート!O57</f>
        <v>46113</v>
      </c>
      <c r="D30" s="181"/>
      <c r="E30" s="56" t="s">
        <v>22</v>
      </c>
      <c r="F30" s="160" t="str">
        <f>J13</f>
        <v/>
      </c>
      <c r="G30" s="160"/>
      <c r="H30" s="161"/>
      <c r="I30" s="161"/>
      <c r="J30" s="157" t="str">
        <f>IFERROR(SUM(DATEDIF(C30,F30,"m"),1),"")</f>
        <v/>
      </c>
      <c r="K30" s="158"/>
      <c r="L30" s="159" t="s">
        <v>23</v>
      </c>
      <c r="M30" s="159"/>
      <c r="N30" s="159"/>
      <c r="P30" s="79"/>
      <c r="Q30" s="79"/>
    </row>
    <row r="31" spans="1:17" ht="39.75" customHeight="1" thickBot="1" x14ac:dyDescent="0.5">
      <c r="A31" s="109" t="s">
        <v>24</v>
      </c>
      <c r="B31" s="80" t="s">
        <v>25</v>
      </c>
      <c r="C31" s="81" t="s">
        <v>29</v>
      </c>
      <c r="D31" s="112"/>
      <c r="E31" s="113"/>
      <c r="F31" s="82" t="s">
        <v>6</v>
      </c>
      <c r="G31" s="83" t="s">
        <v>33</v>
      </c>
      <c r="H31" s="220"/>
      <c r="I31" s="221"/>
      <c r="J31" s="84" t="s">
        <v>89</v>
      </c>
      <c r="K31" s="84" t="s">
        <v>35</v>
      </c>
      <c r="L31" s="219">
        <f t="shared" ref="L31:L38" si="0">D31*H31</f>
        <v>0</v>
      </c>
      <c r="M31" s="219"/>
      <c r="N31" s="85" t="s">
        <v>6</v>
      </c>
      <c r="O31" s="86" t="str">
        <f>IF(AND(D31=0,NOT(ISBLANK(H31))),"学費は申請必須です！月額を入力してください。",IF(AND(H31=0,NOT(ISBLANK(D31))),"学費は申請必須です！月数を入力してください。",IF(D31&gt;D32,"申請金額が上限を超えています！入力を修正してください。",IF(H31&gt;H32,"申請月数が上限を超えています！入力を修正してください。",""))))</f>
        <v/>
      </c>
      <c r="P31" s="79"/>
      <c r="Q31" s="79"/>
    </row>
    <row r="32" spans="1:17" ht="26.25" customHeight="1" thickBot="1" x14ac:dyDescent="0.5">
      <c r="A32" s="110"/>
      <c r="B32" s="87" t="s">
        <v>94</v>
      </c>
      <c r="C32" s="71" t="s">
        <v>29</v>
      </c>
      <c r="D32" s="216">
        <f>IF(J22-F28&gt;600000,50000,データシート!C64)</f>
        <v>0</v>
      </c>
      <c r="E32" s="216"/>
      <c r="F32" s="88" t="s">
        <v>6</v>
      </c>
      <c r="G32" s="89" t="s">
        <v>33</v>
      </c>
      <c r="H32" s="218">
        <f>IF(OR(J29&gt;J30,J29&gt;49),J30,J29)</f>
        <v>0</v>
      </c>
      <c r="I32" s="218"/>
      <c r="J32" s="88" t="s">
        <v>34</v>
      </c>
      <c r="K32" s="90" t="s">
        <v>35</v>
      </c>
      <c r="L32" s="119">
        <f>D32*H32</f>
        <v>0</v>
      </c>
      <c r="M32" s="119"/>
      <c r="N32" s="91" t="s">
        <v>6</v>
      </c>
    </row>
    <row r="33" spans="1:15" ht="38.25" customHeight="1" thickBot="1" x14ac:dyDescent="0.5">
      <c r="A33" s="110"/>
      <c r="B33" s="80" t="s">
        <v>26</v>
      </c>
      <c r="C33" s="92" t="s">
        <v>86</v>
      </c>
      <c r="D33" s="112"/>
      <c r="E33" s="113"/>
      <c r="F33" s="93" t="s">
        <v>6</v>
      </c>
      <c r="G33" s="94" t="s">
        <v>33</v>
      </c>
      <c r="H33" s="220"/>
      <c r="I33" s="221"/>
      <c r="J33" s="93" t="s">
        <v>90</v>
      </c>
      <c r="K33" s="95" t="s">
        <v>35</v>
      </c>
      <c r="L33" s="197">
        <f t="shared" si="0"/>
        <v>0</v>
      </c>
      <c r="M33" s="197"/>
      <c r="N33" s="85" t="s">
        <v>6</v>
      </c>
      <c r="O33" s="86" t="str">
        <f>IF(D33&gt;D34,"申請金額が上限を超えています！修正してください。",IF(H33&gt;H34,"申請回数が上限を超えています！修正してください。",""))</f>
        <v/>
      </c>
    </row>
    <row r="34" spans="1:15" ht="26.25" customHeight="1" thickBot="1" x14ac:dyDescent="0.5">
      <c r="A34" s="110"/>
      <c r="B34" s="87" t="s">
        <v>94</v>
      </c>
      <c r="C34" s="71" t="s">
        <v>31</v>
      </c>
      <c r="D34" s="216">
        <f>IFERROR(IF(データシート!B55&gt;データシート!C49,0,IF(C16-K28&gt;200000,200000,ROUNDDOWN((C16-K28),-3))),0)</f>
        <v>0</v>
      </c>
      <c r="E34" s="216"/>
      <c r="F34" s="88" t="s">
        <v>6</v>
      </c>
      <c r="G34" s="89" t="s">
        <v>33</v>
      </c>
      <c r="H34" s="218">
        <f>IFERROR(IF(C16=0,0,IF(データシート!C49&gt;=データシート!B55,1,0)),0)</f>
        <v>0</v>
      </c>
      <c r="I34" s="218"/>
      <c r="J34" s="88" t="s">
        <v>37</v>
      </c>
      <c r="K34" s="90" t="s">
        <v>35</v>
      </c>
      <c r="L34" s="119">
        <f t="shared" si="0"/>
        <v>0</v>
      </c>
      <c r="M34" s="119"/>
      <c r="N34" s="91" t="s">
        <v>6</v>
      </c>
    </row>
    <row r="35" spans="1:15" ht="38.25" customHeight="1" thickBot="1" x14ac:dyDescent="0.5">
      <c r="A35" s="110"/>
      <c r="B35" s="80" t="s">
        <v>27</v>
      </c>
      <c r="C35" s="92" t="s">
        <v>87</v>
      </c>
      <c r="D35" s="112"/>
      <c r="E35" s="113"/>
      <c r="F35" s="93" t="s">
        <v>6</v>
      </c>
      <c r="G35" s="94" t="s">
        <v>33</v>
      </c>
      <c r="H35" s="220"/>
      <c r="I35" s="221"/>
      <c r="J35" s="93" t="s">
        <v>90</v>
      </c>
      <c r="K35" s="95" t="s">
        <v>85</v>
      </c>
      <c r="L35" s="197">
        <f t="shared" si="0"/>
        <v>0</v>
      </c>
      <c r="M35" s="197"/>
      <c r="N35" s="96" t="s">
        <v>6</v>
      </c>
    </row>
    <row r="36" spans="1:15" ht="26.25" customHeight="1" thickBot="1" x14ac:dyDescent="0.5">
      <c r="A36" s="110"/>
      <c r="B36" s="87" t="s">
        <v>94</v>
      </c>
      <c r="C36" s="71" t="s">
        <v>32</v>
      </c>
      <c r="D36" s="216">
        <v>200000</v>
      </c>
      <c r="E36" s="216"/>
      <c r="F36" s="88" t="s">
        <v>6</v>
      </c>
      <c r="G36" s="89" t="s">
        <v>33</v>
      </c>
      <c r="H36" s="218">
        <v>1</v>
      </c>
      <c r="I36" s="218"/>
      <c r="J36" s="88" t="s">
        <v>37</v>
      </c>
      <c r="K36" s="90" t="s">
        <v>35</v>
      </c>
      <c r="L36" s="119">
        <f t="shared" si="0"/>
        <v>200000</v>
      </c>
      <c r="M36" s="119"/>
      <c r="N36" s="91" t="s">
        <v>6</v>
      </c>
    </row>
    <row r="37" spans="1:15" ht="38.25" customHeight="1" thickBot="1" x14ac:dyDescent="0.5">
      <c r="A37" s="110"/>
      <c r="B37" s="80" t="s">
        <v>28</v>
      </c>
      <c r="C37" s="92" t="s">
        <v>88</v>
      </c>
      <c r="D37" s="112"/>
      <c r="E37" s="113"/>
      <c r="F37" s="93" t="s">
        <v>6</v>
      </c>
      <c r="G37" s="94" t="s">
        <v>33</v>
      </c>
      <c r="H37" s="220"/>
      <c r="I37" s="221"/>
      <c r="J37" s="93" t="s">
        <v>91</v>
      </c>
      <c r="K37" s="95" t="s">
        <v>85</v>
      </c>
      <c r="L37" s="197">
        <f t="shared" si="0"/>
        <v>0</v>
      </c>
      <c r="M37" s="197"/>
      <c r="N37" s="85" t="s">
        <v>6</v>
      </c>
      <c r="O37" s="86" t="str">
        <f>IF(D37&gt;D38,"申請金額が上限を超えています！修正してください。",IF(H37&gt;H38,"申請年数が上限を超えています！修正してください。",""))</f>
        <v/>
      </c>
    </row>
    <row r="38" spans="1:15" ht="26.25" customHeight="1" thickBot="1" x14ac:dyDescent="0.5">
      <c r="A38" s="110"/>
      <c r="B38" s="97" t="s">
        <v>93</v>
      </c>
      <c r="C38" s="98" t="s">
        <v>30</v>
      </c>
      <c r="D38" s="215">
        <v>40000</v>
      </c>
      <c r="E38" s="215"/>
      <c r="F38" s="99" t="s">
        <v>6</v>
      </c>
      <c r="G38" s="100" t="s">
        <v>33</v>
      </c>
      <c r="H38" s="217">
        <f>データシート!G106</f>
        <v>0</v>
      </c>
      <c r="I38" s="217"/>
      <c r="J38" s="99" t="s">
        <v>36</v>
      </c>
      <c r="K38" s="101" t="s">
        <v>35</v>
      </c>
      <c r="L38" s="213">
        <f t="shared" si="0"/>
        <v>0</v>
      </c>
      <c r="M38" s="213"/>
      <c r="N38" s="102" t="s">
        <v>6</v>
      </c>
    </row>
    <row r="39" spans="1:15" ht="38.25" customHeight="1" thickTop="1" x14ac:dyDescent="0.45">
      <c r="A39" s="110"/>
      <c r="B39" s="103" t="s">
        <v>92</v>
      </c>
      <c r="C39" s="116"/>
      <c r="D39" s="117"/>
      <c r="E39" s="117"/>
      <c r="F39" s="117"/>
      <c r="G39" s="117"/>
      <c r="H39" s="104"/>
      <c r="I39" s="118">
        <f>L31+L33+L35+L37</f>
        <v>0</v>
      </c>
      <c r="J39" s="118"/>
      <c r="K39" s="118"/>
      <c r="L39" s="118"/>
      <c r="M39" s="118"/>
      <c r="N39" s="105" t="s">
        <v>6</v>
      </c>
    </row>
    <row r="40" spans="1:15" ht="26.25" customHeight="1" x14ac:dyDescent="0.45">
      <c r="A40" s="111"/>
      <c r="B40" s="106" t="s">
        <v>95</v>
      </c>
      <c r="C40" s="114"/>
      <c r="D40" s="115"/>
      <c r="E40" s="115"/>
      <c r="F40" s="115"/>
      <c r="G40" s="115"/>
      <c r="H40" s="89"/>
      <c r="I40" s="214">
        <f>L32+L34+L36+L38</f>
        <v>200000</v>
      </c>
      <c r="J40" s="214"/>
      <c r="K40" s="214"/>
      <c r="L40" s="214"/>
      <c r="M40" s="214"/>
      <c r="N40" s="107" t="s">
        <v>6</v>
      </c>
    </row>
  </sheetData>
  <sheetProtection algorithmName="SHA-512" hashValue="RrHvV44xfZ3IBNm1hqyF5ll45oqZeqX0tcctDff9PEo3JfapEj3evqMNe50CMCGdc10nAHsxxOhYkQ0P58kQvQ==" saltValue="xoJbOadHhnAHYEWc48sJqw==" spinCount="100000" sheet="1" objects="1" scenarios="1"/>
  <mergeCells count="103">
    <mergeCell ref="F3:G3"/>
    <mergeCell ref="H3:N3"/>
    <mergeCell ref="L36:M36"/>
    <mergeCell ref="L38:M38"/>
    <mergeCell ref="I40:M40"/>
    <mergeCell ref="D38:E38"/>
    <mergeCell ref="D36:E36"/>
    <mergeCell ref="D34:E34"/>
    <mergeCell ref="D32:E32"/>
    <mergeCell ref="H38:I38"/>
    <mergeCell ref="H32:I32"/>
    <mergeCell ref="H34:I34"/>
    <mergeCell ref="H36:I36"/>
    <mergeCell ref="G17:I17"/>
    <mergeCell ref="C17:D17"/>
    <mergeCell ref="L31:M31"/>
    <mergeCell ref="H37:I37"/>
    <mergeCell ref="H35:I35"/>
    <mergeCell ref="H33:I33"/>
    <mergeCell ref="H31:I31"/>
    <mergeCell ref="L33:M33"/>
    <mergeCell ref="D35:E35"/>
    <mergeCell ref="L35:M35"/>
    <mergeCell ref="D37:E37"/>
    <mergeCell ref="L37:M37"/>
    <mergeCell ref="M17:N17"/>
    <mergeCell ref="M18:N18"/>
    <mergeCell ref="M19:N19"/>
    <mergeCell ref="M22:N23"/>
    <mergeCell ref="D33:E33"/>
    <mergeCell ref="F28:I28"/>
    <mergeCell ref="C19:D19"/>
    <mergeCell ref="G22:I23"/>
    <mergeCell ref="J22:L23"/>
    <mergeCell ref="G19:I19"/>
    <mergeCell ref="F26:J26"/>
    <mergeCell ref="G18:I18"/>
    <mergeCell ref="A1:N1"/>
    <mergeCell ref="A16:A23"/>
    <mergeCell ref="C16:D16"/>
    <mergeCell ref="A12:B12"/>
    <mergeCell ref="C10:E10"/>
    <mergeCell ref="C12:E12"/>
    <mergeCell ref="F10:I10"/>
    <mergeCell ref="F11:I11"/>
    <mergeCell ref="F12:I12"/>
    <mergeCell ref="A11:B11"/>
    <mergeCell ref="C11:E11"/>
    <mergeCell ref="A13:B13"/>
    <mergeCell ref="C13:E13"/>
    <mergeCell ref="C22:D22"/>
    <mergeCell ref="F16:F19"/>
    <mergeCell ref="J12:K12"/>
    <mergeCell ref="J17:L17"/>
    <mergeCell ref="J19:L19"/>
    <mergeCell ref="J18:L18"/>
    <mergeCell ref="J16:L16"/>
    <mergeCell ref="F22:F23"/>
    <mergeCell ref="A10:B10"/>
    <mergeCell ref="L10:N10"/>
    <mergeCell ref="J20:L21"/>
    <mergeCell ref="A30:B30"/>
    <mergeCell ref="J30:K30"/>
    <mergeCell ref="L30:N30"/>
    <mergeCell ref="F30:I30"/>
    <mergeCell ref="F29:H29"/>
    <mergeCell ref="C26:E26"/>
    <mergeCell ref="C27:E27"/>
    <mergeCell ref="C28:D28"/>
    <mergeCell ref="F20:F21"/>
    <mergeCell ref="G20:I21"/>
    <mergeCell ref="F27:G27"/>
    <mergeCell ref="C20:D20"/>
    <mergeCell ref="K28:M28"/>
    <mergeCell ref="C30:D30"/>
    <mergeCell ref="K26:N26"/>
    <mergeCell ref="K27:N27"/>
    <mergeCell ref="C21:D21"/>
    <mergeCell ref="C23:D23"/>
    <mergeCell ref="A31:A40"/>
    <mergeCell ref="D31:E31"/>
    <mergeCell ref="C40:G40"/>
    <mergeCell ref="C39:G39"/>
    <mergeCell ref="I39:M39"/>
    <mergeCell ref="L32:M32"/>
    <mergeCell ref="L34:M34"/>
    <mergeCell ref="H4:N4"/>
    <mergeCell ref="H27:I27"/>
    <mergeCell ref="A26:B28"/>
    <mergeCell ref="A29:B29"/>
    <mergeCell ref="M11:N11"/>
    <mergeCell ref="L12:N12"/>
    <mergeCell ref="J11:L11"/>
    <mergeCell ref="J10:K10"/>
    <mergeCell ref="J13:N13"/>
    <mergeCell ref="D15:J15"/>
    <mergeCell ref="F4:G4"/>
    <mergeCell ref="C18:D18"/>
    <mergeCell ref="F13:I13"/>
    <mergeCell ref="G16:I16"/>
    <mergeCell ref="M16:N16"/>
    <mergeCell ref="M20:N21"/>
    <mergeCell ref="J29:K29"/>
  </mergeCells>
  <phoneticPr fontId="1"/>
  <conditionalFormatting sqref="C29">
    <cfRule type="expression" dxfId="73" priority="48">
      <formula>$C$29&lt;&gt;""</formula>
    </cfRule>
  </conditionalFormatting>
  <conditionalFormatting sqref="C16:D16">
    <cfRule type="expression" dxfId="72" priority="81">
      <formula>$C$16&lt;&gt;""</formula>
    </cfRule>
  </conditionalFormatting>
  <conditionalFormatting sqref="C17:D17">
    <cfRule type="expression" dxfId="71" priority="80">
      <formula>$C$17&lt;&gt;""</formula>
    </cfRule>
  </conditionalFormatting>
  <conditionalFormatting sqref="C18:D18">
    <cfRule type="expression" dxfId="70" priority="79">
      <formula>$C$18&lt;&gt;""</formula>
    </cfRule>
  </conditionalFormatting>
  <conditionalFormatting sqref="C19:D19">
    <cfRule type="expression" dxfId="69" priority="78">
      <formula>$C$19&lt;&gt;""</formula>
    </cfRule>
  </conditionalFormatting>
  <conditionalFormatting sqref="C20:D20">
    <cfRule type="expression" dxfId="68" priority="77">
      <formula>$C$20&lt;&gt;""</formula>
    </cfRule>
  </conditionalFormatting>
  <conditionalFormatting sqref="C21:D21">
    <cfRule type="expression" dxfId="67" priority="76">
      <formula>$C$21&lt;&gt;""</formula>
    </cfRule>
  </conditionalFormatting>
  <conditionalFormatting sqref="C10:E10">
    <cfRule type="expression" dxfId="64" priority="93">
      <formula>$C$10&lt;&gt;""</formula>
    </cfRule>
  </conditionalFormatting>
  <conditionalFormatting sqref="C11:E11">
    <cfRule type="expression" dxfId="63" priority="60">
      <formula>$C$11&lt;&gt;""</formula>
    </cfRule>
  </conditionalFormatting>
  <conditionalFormatting sqref="C12:E12">
    <cfRule type="expression" dxfId="62" priority="92">
      <formula>$C$12&lt;&gt;""</formula>
    </cfRule>
  </conditionalFormatting>
  <conditionalFormatting sqref="C13:E13">
    <cfRule type="expression" dxfId="61" priority="91">
      <formula>$C$13&lt;&gt;""</formula>
    </cfRule>
  </conditionalFormatting>
  <conditionalFormatting sqref="C27:E27">
    <cfRule type="expression" dxfId="60" priority="71">
      <formula>$C$27&lt;&gt;""</formula>
    </cfRule>
  </conditionalFormatting>
  <conditionalFormatting sqref="D29">
    <cfRule type="expression" dxfId="59" priority="59">
      <formula>$D$29&lt;&gt;""</formula>
    </cfRule>
  </conditionalFormatting>
  <conditionalFormatting sqref="D31:E31">
    <cfRule type="expression" dxfId="58" priority="12">
      <formula>$O$31="申請金額が上限を超えています！入力を修正してください。"</formula>
    </cfRule>
    <cfRule type="expression" dxfId="57" priority="14">
      <formula>$O$31="学費は申請必須です！月額を入力してください。"</formula>
    </cfRule>
    <cfRule type="expression" dxfId="56" priority="68">
      <formula>$D$31&lt;&gt;""</formula>
    </cfRule>
  </conditionalFormatting>
  <conditionalFormatting sqref="D33:E33">
    <cfRule type="expression" dxfId="55" priority="7">
      <formula>$O$33="申請金額が上限を超えています！修正してください。"</formula>
    </cfRule>
    <cfRule type="expression" dxfId="54" priority="67">
      <formula>$D$33&lt;&gt;""</formula>
    </cfRule>
  </conditionalFormatting>
  <conditionalFormatting sqref="D35:E35">
    <cfRule type="expression" dxfId="53" priority="66">
      <formula>$D$35&lt;&gt;""</formula>
    </cfRule>
  </conditionalFormatting>
  <conditionalFormatting sqref="D37:E37">
    <cfRule type="expression" dxfId="52" priority="3">
      <formula>$O$37="申請金額が上限を超えています！修正してください。"</formula>
    </cfRule>
    <cfRule type="expression" dxfId="51" priority="65">
      <formula>$D$37&lt;&gt;""</formula>
    </cfRule>
  </conditionalFormatting>
  <conditionalFormatting sqref="D15:J15">
    <cfRule type="expression" dxfId="50" priority="35">
      <formula>$C$16=""</formula>
    </cfRule>
    <cfRule type="expression" dxfId="49" priority="36">
      <formula>$C$16=0</formula>
    </cfRule>
  </conditionalFormatting>
  <conditionalFormatting sqref="F29">
    <cfRule type="expression" dxfId="48" priority="51">
      <formula>$F$29&lt;&gt;""</formula>
    </cfRule>
  </conditionalFormatting>
  <conditionalFormatting sqref="F27:G27">
    <cfRule type="expression" dxfId="47" priority="56">
      <formula>OR(C27="対象者でない",C27="申請中")</formula>
    </cfRule>
  </conditionalFormatting>
  <conditionalFormatting sqref="H27">
    <cfRule type="expression" dxfId="44" priority="53">
      <formula>OR(C27="対象者でない",C27="申請中")</formula>
    </cfRule>
    <cfRule type="expression" dxfId="43" priority="70">
      <formula>$H$27&lt;&gt;""</formula>
    </cfRule>
    <cfRule type="expression" dxfId="42" priority="69">
      <formula>OR(C27="対象者でない",C27="申請中")</formula>
    </cfRule>
  </conditionalFormatting>
  <conditionalFormatting sqref="H31">
    <cfRule type="expression" dxfId="41" priority="64">
      <formula>$H$31&lt;&gt;""</formula>
    </cfRule>
  </conditionalFormatting>
  <conditionalFormatting sqref="H32">
    <cfRule type="expression" dxfId="40" priority="57">
      <formula>$J$29&gt;49</formula>
    </cfRule>
  </conditionalFormatting>
  <conditionalFormatting sqref="H33">
    <cfRule type="expression" dxfId="39" priority="63">
      <formula>$H$33&lt;&gt;""</formula>
    </cfRule>
  </conditionalFormatting>
  <conditionalFormatting sqref="H35">
    <cfRule type="expression" dxfId="38" priority="62">
      <formula>$H$35&lt;&gt;""</formula>
    </cfRule>
  </conditionalFormatting>
  <conditionalFormatting sqref="H37">
    <cfRule type="expression" dxfId="37" priority="61">
      <formula>$H$37&lt;&gt;""</formula>
    </cfRule>
  </conditionalFormatting>
  <conditionalFormatting sqref="H27:I27">
    <cfRule type="expression" dxfId="36" priority="34">
      <formula>OR(C27="対象者でない",C27="申請中")</formula>
    </cfRule>
  </conditionalFormatting>
  <conditionalFormatting sqref="H31:I31">
    <cfRule type="expression" dxfId="35" priority="16">
      <formula>$O$31="学費は申請必須です！月数を入力してください。"</formula>
    </cfRule>
    <cfRule type="expression" dxfId="34" priority="11">
      <formula>$O$31="申請月数が上限を超えています！入力を修正してください。"</formula>
    </cfRule>
  </conditionalFormatting>
  <conditionalFormatting sqref="H33:I33">
    <cfRule type="expression" dxfId="33" priority="6">
      <formula>$O$33="申請回数が上限を超えています！修正してください。"</formula>
    </cfRule>
  </conditionalFormatting>
  <conditionalFormatting sqref="H37:I37">
    <cfRule type="expression" dxfId="32" priority="2">
      <formula>$O$37="申請年数が上限を超えています！修正してください。"</formula>
    </cfRule>
  </conditionalFormatting>
  <conditionalFormatting sqref="H3:N3">
    <cfRule type="expression" dxfId="31" priority="1">
      <formula>$H$3&lt;&gt;""</formula>
    </cfRule>
  </conditionalFormatting>
  <conditionalFormatting sqref="H4:N4">
    <cfRule type="expression" dxfId="30" priority="21">
      <formula>$H$4&lt;&gt;""</formula>
    </cfRule>
  </conditionalFormatting>
  <conditionalFormatting sqref="I29">
    <cfRule type="expression" dxfId="29" priority="47">
      <formula>$I$29&lt;&gt;""</formula>
    </cfRule>
  </conditionalFormatting>
  <conditionalFormatting sqref="J27">
    <cfRule type="expression" dxfId="28" priority="55">
      <formula>OR(C27="対象者でない",C27="申請中")</formula>
    </cfRule>
  </conditionalFormatting>
  <conditionalFormatting sqref="J10:K10">
    <cfRule type="expression" dxfId="27" priority="89">
      <formula>$J$10&lt;&gt;""</formula>
    </cfRule>
  </conditionalFormatting>
  <conditionalFormatting sqref="J12:K12">
    <cfRule type="expression" dxfId="26" priority="85">
      <formula>$J$12&lt;&gt;""</formula>
    </cfRule>
  </conditionalFormatting>
  <conditionalFormatting sqref="J29:K30">
    <cfRule type="expression" dxfId="25" priority="45">
      <formula>$J$29&gt;49</formula>
    </cfRule>
  </conditionalFormatting>
  <conditionalFormatting sqref="J11:L11">
    <cfRule type="expression" dxfId="24" priority="25">
      <formula>$O$11="学年または修業年限に誤りがあります！修正してください。"</formula>
    </cfRule>
    <cfRule type="expression" dxfId="23" priority="87">
      <formula>$J$11&lt;&gt;""</formula>
    </cfRule>
  </conditionalFormatting>
  <conditionalFormatting sqref="J16:L16">
    <cfRule type="expression" dxfId="22" priority="75">
      <formula>$J$16&lt;&gt;""</formula>
    </cfRule>
  </conditionalFormatting>
  <conditionalFormatting sqref="J17:L17">
    <cfRule type="expression" dxfId="21" priority="74">
      <formula>$J$17&lt;&gt;""</formula>
    </cfRule>
  </conditionalFormatting>
  <conditionalFormatting sqref="J18:L18">
    <cfRule type="expression" dxfId="20" priority="73">
      <formula>$J$18&lt;&gt;""</formula>
    </cfRule>
  </conditionalFormatting>
  <conditionalFormatting sqref="J19:L19">
    <cfRule type="expression" dxfId="19" priority="72">
      <formula>$J$19&lt;&gt;""</formula>
    </cfRule>
  </conditionalFormatting>
  <conditionalFormatting sqref="J10:N10 J12:N12">
    <cfRule type="expression" dxfId="18" priority="28">
      <formula>$O$12="卒業年月を過ぎています！入学年月または修業年限に誤りがないか確認してください。"</formula>
    </cfRule>
  </conditionalFormatting>
  <conditionalFormatting sqref="J12:N12">
    <cfRule type="expression" dxfId="17" priority="24">
      <formula>$O$11="学年または修業年限に誤りがあります！修正してください。"</formula>
    </cfRule>
  </conditionalFormatting>
  <conditionalFormatting sqref="J10:T10 J11:L11">
    <cfRule type="expression" dxfId="16" priority="18">
      <formula>$O$10="入学年月または学年に誤りがあります！修正してください。"</formula>
    </cfRule>
  </conditionalFormatting>
  <conditionalFormatting sqref="K28:M28">
    <cfRule type="expression" dxfId="15" priority="20">
      <formula>$C$27="対象者である"</formula>
    </cfRule>
  </conditionalFormatting>
  <conditionalFormatting sqref="K27:N27">
    <cfRule type="expression" dxfId="14" priority="54">
      <formula>OR(C27="対象者でない",C27="申請中")</formula>
    </cfRule>
  </conditionalFormatting>
  <conditionalFormatting sqref="L10">
    <cfRule type="expression" dxfId="13" priority="88">
      <formula>$L$10&lt;&gt;""</formula>
    </cfRule>
  </conditionalFormatting>
  <conditionalFormatting sqref="L12">
    <cfRule type="expression" dxfId="12" priority="84">
      <formula>$L$12&lt;&gt;""</formula>
    </cfRule>
  </conditionalFormatting>
  <conditionalFormatting sqref="M29:S29">
    <cfRule type="expression" dxfId="11" priority="30">
      <formula>OR($M$29="借入希望期間に誤りがあります！入力を修正してください。",$M$29="借入開始日に誤りがあります！入力を修正してください。",$M$29="借入終了日に誤りがあります！入力を修正してください。")</formula>
    </cfRule>
  </conditionalFormatting>
  <conditionalFormatting sqref="O10">
    <cfRule type="expression" dxfId="10" priority="19">
      <formula>$O$10="入学年月または学年に誤りがあります！修正してください。"</formula>
    </cfRule>
  </conditionalFormatting>
  <conditionalFormatting sqref="O31:S31">
    <cfRule type="expression" dxfId="9" priority="10">
      <formula>$O$31="申請月数が上限を超えています！入力を修正してください。"</formula>
    </cfRule>
    <cfRule type="expression" dxfId="8" priority="15">
      <formula>$O$31="学費は申請必須です！月額を入力してください。"</formula>
    </cfRule>
    <cfRule type="expression" dxfId="7" priority="13">
      <formula>$O$31="申請金額が上限を超えています！入力を修正してください。"</formula>
    </cfRule>
    <cfRule type="expression" dxfId="6" priority="17">
      <formula>$O$31="学費は申請必須です！月数を入力してください。"</formula>
    </cfRule>
  </conditionalFormatting>
  <conditionalFormatting sqref="O33:T33">
    <cfRule type="expression" dxfId="5" priority="9">
      <formula>$O$33="申請金額が上限を超えています！修正してください。"</formula>
    </cfRule>
    <cfRule type="expression" dxfId="4" priority="8">
      <formula>$O$33="申請回数が上限を超えています！修正してください。"</formula>
    </cfRule>
  </conditionalFormatting>
  <conditionalFormatting sqref="O37:T37">
    <cfRule type="expression" dxfId="3" priority="5">
      <formula>$O$37="申請金額が上限を超えています！修正してください。"</formula>
    </cfRule>
    <cfRule type="expression" dxfId="2" priority="4">
      <formula>$O$37="申請年数が上限を超えています！修正してください。"</formula>
    </cfRule>
  </conditionalFormatting>
  <conditionalFormatting sqref="O11:U11">
    <cfRule type="expression" dxfId="1" priority="27">
      <formula>$O$11="学年または修業年限に誤りがあります！修正してください。"</formula>
    </cfRule>
  </conditionalFormatting>
  <conditionalFormatting sqref="O12:W12">
    <cfRule type="expression" dxfId="0" priority="29">
      <formula>$O$12="卒業年月を過ぎています！入学年月または修業年限に誤りがないか確認してください。"</formula>
    </cfRule>
  </conditionalFormatting>
  <dataValidations count="13">
    <dataValidation type="list" allowBlank="1" showInputMessage="1" showErrorMessage="1" error="プルダウンから選択してください。" sqref="C27:E27" xr:uid="{225898CE-9DB2-475C-B863-FA088BC7941A}">
      <formula1>"対象者である,対象者でない,申請中"</formula1>
    </dataValidation>
    <dataValidation type="list" allowBlank="1" showInputMessage="1" showErrorMessage="1" sqref="C12:E12" xr:uid="{E294C85A-8C52-4696-ACBA-F2976800E660}">
      <formula1>"大学,短期大学,高等専門学校,専門学校"</formula1>
    </dataValidation>
    <dataValidation type="list" allowBlank="1" showInputMessage="1" showErrorMessage="1" sqref="J11" xr:uid="{1FF2AA6B-AD30-468D-927F-96EF929CDF9E}">
      <formula1>"1,2,3,4"</formula1>
    </dataValidation>
    <dataValidation type="list" allowBlank="1" showInputMessage="1" showErrorMessage="1" sqref="J12:K12" xr:uid="{5A18D2E2-B414-4CA8-80A3-E8CF00AC68E9}">
      <formula1>"1年,2年,3年,4年"</formula1>
    </dataValidation>
    <dataValidation type="list" allowBlank="1" showInputMessage="1" showErrorMessage="1" sqref="L12" xr:uid="{8F7F2D5F-4BD3-4963-84F4-3AA0B7B6082E}">
      <formula1>"0箇月,1箇月,2箇月,3箇月,4箇月,5箇月,6箇月,7箇月,8箇月,9箇月,10箇月,11箇月"</formula1>
    </dataValidation>
    <dataValidation type="list" allowBlank="1" showInputMessage="1" showErrorMessage="1" sqref="L10" xr:uid="{761170AD-5BF1-4159-BED3-5B6E86F4631E}">
      <formula1>"4月,10月"</formula1>
    </dataValidation>
    <dataValidation type="list" allowBlank="1" showInputMessage="1" showErrorMessage="1" sqref="C13:E13" xr:uid="{FE39B03E-B536-4A55-828F-861724507B58}">
      <formula1>"国公立,私立"</formula1>
    </dataValidation>
    <dataValidation type="list" allowBlank="1" showInputMessage="1" showErrorMessage="1" sqref="D29" xr:uid="{886435F7-562D-407C-A80E-8C5A723D68B3}">
      <formula1>"4月,5月,6月,7月,8月,9月,10月,11月,12月,1月,2月,3月"</formula1>
    </dataValidation>
    <dataValidation type="custom" allowBlank="1" showInputMessage="1" showErrorMessage="1" error="マイナス値は入力できません！" sqref="C19:D21 J16:L19" xr:uid="{5028E767-2184-48E8-A1E4-6B70D5AA5D40}">
      <formula1>C16&gt;=0</formula1>
    </dataValidation>
    <dataValidation type="custom" allowBlank="1" showInputMessage="1" showErrorMessage="1" error="マイナス値は入力できません！" sqref="C16:D18" xr:uid="{34777474-5ABD-421B-807D-37ACE7C05A02}">
      <formula1>OR(C16&gt;0,C16=0)</formula1>
    </dataValidation>
    <dataValidation type="list" allowBlank="1" showInputMessage="1" showErrorMessage="1" sqref="I29" xr:uid="{EDF7D8D2-B1A9-4329-8134-585D5178A56A}">
      <formula1>"1月,2月,3月,4月,5月,6月,7月,8月,9月,10月,11月,12月"</formula1>
    </dataValidation>
    <dataValidation imeMode="fullKatakana" allowBlank="1" showInputMessage="1" showErrorMessage="1" sqref="H3:N3" xr:uid="{3B964869-AE09-459D-ABA4-993ADA1BD6DE}"/>
    <dataValidation type="list" allowBlank="1" showInputMessage="1" showErrorMessage="1" sqref="H27:I27" xr:uid="{186C39A9-E5F8-4DF6-BD99-0C68F3728A30}">
      <formula1>"Ⅰ,Ⅱ,Ⅲ,Ⅳ"</formula1>
    </dataValidation>
  </dataValidations>
  <pageMargins left="0.51181102362204722" right="0.31496062992125984" top="0.5625" bottom="0.35433070866141736" header="0.31496062992125984" footer="0.31496062992125984"/>
  <pageSetup paperSize="9" scale="69" fitToWidth="0" orientation="portrait" r:id="rId1"/>
  <headerFooter>
    <oddHeader>&amp;L&amp;12様式第１６号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3" id="{508F6400-F047-4AA9-91A1-F01B25676517}">
            <xm:f>データシート!$K$59="誤"</xm:f>
            <x14:dxf>
              <font>
                <strike/>
                <color rgb="FFFF0000"/>
              </font>
              <fill>
                <patternFill>
                  <bgColor rgb="FFFFFF00"/>
                </patternFill>
              </fill>
            </x14:dxf>
          </x14:cfRule>
          <x14:cfRule type="expression" priority="40" id="{BC10913F-0F69-4FCE-B492-EC0AD369D68D}">
            <xm:f>データシート!$G$59="誤"</xm:f>
            <x14:dxf>
              <font>
                <strike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C29:D29</xm:sqref>
        </x14:conditionalFormatting>
        <x14:conditionalFormatting xmlns:xm="http://schemas.microsoft.com/office/excel/2006/main">
          <x14:cfRule type="expression" priority="22" id="{6B30F5D4-9A51-4422-94F0-BDD87F595444}">
            <xm:f>データシート!$K$59="誤"</xm:f>
            <x14:dxf>
              <font>
                <strike/>
                <color rgb="FFFF0000"/>
              </font>
              <fill>
                <patternFill>
                  <bgColor rgb="FFFFFF00"/>
                </patternFill>
              </fill>
            </x14:dxf>
          </x14:cfRule>
          <x14:cfRule type="expression" priority="41" id="{97B0611C-3795-4FE2-BF45-24C2B7AB87A2}">
            <xm:f>データシート!$C$50&lt;データシート!$C$60</xm:f>
            <x14:dxf>
              <font>
                <strike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F29:I29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ABF4DEF8-6438-4E70-B1FA-A8A3D22DE12D}">
          <x14:formula1>
            <xm:f>データシート!$K$82:$K$86</xm:f>
          </x14:formula1>
          <xm:sqref>J10:K10</xm:sqref>
        </x14:dataValidation>
        <x14:dataValidation type="list" allowBlank="1" showInputMessage="1" showErrorMessage="1" xr:uid="{CC0969D7-2E70-4742-9280-9D321AAC0A8E}">
          <x14:formula1>
            <xm:f>データシート!$N$82:$N$86</xm:f>
          </x14:formula1>
          <xm:sqref>F29:H29 C29</xm:sqref>
        </x14:dataValidation>
        <x14:dataValidation type="custom" allowBlank="1" showInputMessage="1" showErrorMessage="1" error="上限月数を上回っています！入力を修正してください。" xr:uid="{20E9A414-2BDA-423B-8955-11C653433B05}">
          <x14:formula1>
            <xm:f>AND(H31&lt;H32+1,H31&gt;=0,データシート!F82="")</xm:f>
          </x14:formula1>
          <xm:sqref>H31:I31</xm:sqref>
        </x14:dataValidation>
        <x14:dataValidation type="custom" allowBlank="1" showInputMessage="1" showErrorMessage="1" error="上限回数を上回っています！入力を確認してください。" xr:uid="{033C0E5F-3CD4-42B0-88F8-780B20AD873E}">
          <x14:formula1>
            <xm:f>AND(H37&lt;H38+1,H37&gt;=0,データシート!F85="")</xm:f>
          </x14:formula1>
          <xm:sqref>H37:I37</xm:sqref>
        </x14:dataValidation>
        <x14:dataValidation type="custom" allowBlank="1" showInputMessage="1" showErrorMessage="1" errorTitle="以下のいずれかの誤りがあります！入力を修正してください。" error="①　上限額を超えている　⇒　減額修正してください。_x000a_②　千円未満を入力している ⇒ 千円未満を切捨ててください。" xr:uid="{B949D3EE-34F4-4C58-9440-F26C0A5D37C0}">
          <x14:formula1>
            <xm:f>AND(D32+1&gt;D31,D31=データシート!C82,D31&gt;=0)</xm:f>
          </x14:formula1>
          <xm:sqref>D31:E31</xm:sqref>
        </x14:dataValidation>
        <x14:dataValidation type="custom" allowBlank="1" showInputMessage="1" showErrorMessage="1" errorTitle="以下のいずれかの誤りがあります！入力を修正してください。" error="①　上限額を超えている　⇒　減額修正してください。_x000a_②　千円未満を入力している ⇒ 千円未満を切捨ててください。" xr:uid="{2068CB9E-0C54-42C3-A07A-3B9DE07F4D52}">
          <x14:formula1>
            <xm:f>AND(D34+1&gt;D33,D33=データシート!C83,D33&gt;=0)</xm:f>
          </x14:formula1>
          <xm:sqref>D33:E33</xm:sqref>
        </x14:dataValidation>
        <x14:dataValidation type="custom" allowBlank="1" showInputMessage="1" showErrorMessage="1" errorTitle="以下のいずれかの誤りがあります！入力を修正してください。" error="①　上限額を超えている　⇒　減額修正してください。_x000a_②　千円未満を入力している ⇒ 千円未満を切捨ててください。" xr:uid="{343E636C-D18D-415C-9E8A-1BAF70004B54}">
          <x14:formula1>
            <xm:f>AND(D36+1&gt;D35,D35=データシート!C84,D35&gt;=0)</xm:f>
          </x14:formula1>
          <xm:sqref>D35:E35</xm:sqref>
        </x14:dataValidation>
        <x14:dataValidation type="custom" allowBlank="1" showInputMessage="1" showErrorMessage="1" errorTitle="以下のいずれかの誤りがあります！入力を修正してください。" error="①　上限額を超えている　⇒　減額修正してください。_x000a_②　千円未満を入力している ⇒ 千円未満を切捨ててください。" xr:uid="{DF8F94A2-6E5A-4C36-9B2E-ADF1D6D1D189}">
          <x14:formula1>
            <xm:f>AND(D38+1&gt;D37,D37=データシート!C85,D37&gt;=0)</xm:f>
          </x14:formula1>
          <xm:sqref>D37:E37</xm:sqref>
        </x14:dataValidation>
        <x14:dataValidation type="custom" allowBlank="1" showInputMessage="1" showErrorMessage="1" error="上限回数を上回っています！入力を確認してください。" xr:uid="{4714A65F-84E9-4C00-8A32-F5F0832F32E5}">
          <x14:formula1>
            <xm:f>AND(H33&lt;H34+1,H33&gt;=0,データシート!F83="")</xm:f>
          </x14:formula1>
          <xm:sqref>H33:I33</xm:sqref>
        </x14:dataValidation>
        <x14:dataValidation type="custom" allowBlank="1" showInputMessage="1" showErrorMessage="1" error="上限回数を上回っています！入力を確認してください。" xr:uid="{12FD75C0-D274-49B8-9A1F-33D1DB2A1F96}">
          <x14:formula1>
            <xm:f>AND(H35&lt;H36+1,H35&gt;=0,データシート!F84="")</xm:f>
          </x14:formula1>
          <xm:sqref>H35:I35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データシート</vt:lpstr>
      <vt:lpstr>シミュレーションシート</vt:lpstr>
      <vt:lpstr>シミュレーションシート!Print_Area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永田　絢子</dc:creator>
  <cp:lastModifiedBy>奥野 真由</cp:lastModifiedBy>
  <cp:lastPrinted>2026-03-19T00:04:13Z</cp:lastPrinted>
  <dcterms:created xsi:type="dcterms:W3CDTF">2022-01-13T08:08:04Z</dcterms:created>
  <dcterms:modified xsi:type="dcterms:W3CDTF">2026-03-19T00:04:42Z</dcterms:modified>
</cp:coreProperties>
</file>